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166925"/>
  <mc:AlternateContent xmlns:mc="http://schemas.openxmlformats.org/markup-compatibility/2006">
    <mc:Choice Requires="x15">
      <x15ac:absPath xmlns:x15ac="http://schemas.microsoft.com/office/spreadsheetml/2010/11/ac" url="/Users/stevenjohnson/Documents/Businesses/Endstate, LLC/Book/Books/Book Strategy/"/>
    </mc:Choice>
  </mc:AlternateContent>
  <xr:revisionPtr revIDLastSave="0" documentId="13_ncr:1_{0FA6A893-A431-7943-9CFC-2E51978D4043}" xr6:coauthVersionLast="47" xr6:coauthVersionMax="47" xr10:uidLastSave="{00000000-0000-0000-0000-000000000000}"/>
  <bookViews>
    <workbookView xWindow="-50040" yWindow="0" windowWidth="50020" windowHeight="28800" firstSheet="14" activeTab="19" xr2:uid="{028DF2DA-2C84-8147-A581-2788CB1677BA}"/>
  </bookViews>
  <sheets>
    <sheet name="Illustration Table" sheetId="36" r:id="rId1"/>
    <sheet name="1. Task Analysis" sheetId="12" r:id="rId2"/>
    <sheet name="2. MT&amp;L" sheetId="9" r:id="rId3"/>
    <sheet name="3. FAO" sheetId="19" r:id="rId4"/>
    <sheet name="4. CIRT" sheetId="21" r:id="rId5"/>
    <sheet name="5. PESTLES Analysis" sheetId="69" r:id="rId6"/>
    <sheet name="6. Current State " sheetId="74" r:id="rId7"/>
    <sheet name="7. Driver" sheetId="71" r:id="rId8"/>
    <sheet name="8. Modified Driver Corr. Grid" sheetId="78" r:id="rId9"/>
    <sheet name="9. Mod. Prioritized Trend" sheetId="23" r:id="rId10"/>
    <sheet name="10. Futures - Core" sheetId="25" r:id="rId11"/>
    <sheet name="10. Futures - Alternative #1" sheetId="75" r:id="rId12"/>
    <sheet name="10. Futures - Alternative #2" sheetId="76" r:id="rId13"/>
    <sheet name="10. Futures - Plausible" sheetId="77" r:id="rId14"/>
    <sheet name="11. SWOT" sheetId="29" r:id="rId15"/>
    <sheet name="12. OA Anlaysis" sheetId="26" r:id="rId16"/>
    <sheet name="13. CBA" sheetId="28" r:id="rId17"/>
    <sheet name="14. IPL" sheetId="33" r:id="rId18"/>
    <sheet name="15. SWOT-COG Analysis" sheetId="30" r:id="rId19"/>
    <sheet name="16. Strategy" sheetId="41" r:id="rId20"/>
    <sheet name="17. 9S" sheetId="15" r:id="rId21"/>
    <sheet name="18. Stakeholder" sheetId="18" r:id="rId22"/>
    <sheet name="19. Decision Support" sheetId="37" r:id="rId23"/>
    <sheet name="20. Evaluation" sheetId="34" r:id="rId24"/>
    <sheet name="21. Sync" sheetId="35" r:id="rId25"/>
    <sheet name="22. Risk Register" sheetId="38" r:id="rId26"/>
    <sheet name="23. Assessment" sheetId="24" r:id="rId27"/>
    <sheet name="Lists" sheetId="79" r:id="rId28"/>
  </sheets>
  <definedNames>
    <definedName name="Environment" localSheetId="4">Lists!$H$3:$H$8</definedName>
    <definedName name="Future" localSheetId="4">'4. CIRT'!#REF!</definedName>
    <definedName name="Indicator" localSheetId="4">'4. CIRT'!#REF!</definedName>
    <definedName name="Limitation">Lists!$D$3:$D$4</definedName>
    <definedName name="Motivator">Lists!$B$3</definedName>
    <definedName name="MTLDD">Lists!$B$2:$D$2</definedName>
    <definedName name="_xlnm.Print_Area" localSheetId="19">'16. Strategy'!$A$1:$I$122</definedName>
    <definedName name="Task">Lists!$C$3:$C$5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2" i="41" l="1"/>
  <c r="N4" i="23" a="1"/>
  <c r="N4" i="23" s="1"/>
  <c r="D4" i="71" a="1"/>
  <c r="D4" i="71" s="1"/>
  <c r="D5" i="71" a="1"/>
  <c r="D5" i="71" s="1"/>
  <c r="D6" i="71" a="1"/>
  <c r="D6" i="71" s="1"/>
  <c r="D7" i="71" a="1"/>
  <c r="D7" i="71" s="1"/>
  <c r="D8" i="71" a="1"/>
  <c r="D8" i="71" s="1"/>
  <c r="D9" i="71" a="1"/>
  <c r="D9" i="71" s="1"/>
  <c r="D10" i="71" a="1"/>
  <c r="D10" i="71" s="1"/>
  <c r="D11" i="71" a="1"/>
  <c r="D11" i="71" s="1"/>
  <c r="D12" i="71" a="1"/>
  <c r="D12" i="71" s="1"/>
  <c r="D13" i="71" a="1"/>
  <c r="D13" i="71" s="1"/>
  <c r="D14" i="71" a="1"/>
  <c r="D14" i="71" s="1"/>
  <c r="D15" i="71" a="1"/>
  <c r="D15" i="71" s="1"/>
  <c r="D16" i="71" a="1"/>
  <c r="D16" i="71" s="1"/>
  <c r="D17" i="71" a="1"/>
  <c r="D17" i="71" s="1"/>
  <c r="D18" i="71" a="1"/>
  <c r="D18" i="71" s="1"/>
  <c r="D19" i="71" a="1"/>
  <c r="D19" i="71" s="1"/>
  <c r="D20" i="71" a="1"/>
  <c r="D20" i="71" s="1"/>
  <c r="D21" i="71" a="1"/>
  <c r="D21" i="71" s="1"/>
  <c r="D22" i="71" a="1"/>
  <c r="D22" i="71" s="1"/>
  <c r="D23" i="71" a="1"/>
  <c r="D23" i="71" s="1"/>
  <c r="D24" i="71" a="1"/>
  <c r="D24" i="71" s="1"/>
  <c r="A4" i="69"/>
  <c r="O8" i="71" l="1" a="1"/>
  <c r="O8" i="71" s="1"/>
  <c r="P8" i="71" s="1"/>
  <c r="C5" i="71"/>
  <c r="C4" i="71"/>
  <c r="C6" i="71"/>
  <c r="C7" i="71"/>
  <c r="C8" i="71"/>
  <c r="C9" i="71"/>
  <c r="C10" i="71"/>
  <c r="C11" i="71"/>
  <c r="C12" i="71"/>
  <c r="C13" i="71"/>
  <c r="C14" i="71"/>
  <c r="C15" i="71"/>
  <c r="C16" i="71"/>
  <c r="C17" i="71"/>
  <c r="C18" i="71"/>
  <c r="C19" i="71"/>
  <c r="C20" i="71"/>
  <c r="C21" i="71"/>
  <c r="C22" i="71"/>
  <c r="C23" i="71"/>
  <c r="C24" i="71"/>
  <c r="A5" i="69"/>
  <c r="A6" i="69"/>
  <c r="A7" i="69"/>
  <c r="H8" i="36" a="1"/>
  <c r="H8" i="36" s="1"/>
  <c r="M2" i="36"/>
  <c r="M3" i="36"/>
  <c r="M4" i="36"/>
  <c r="M5" i="36"/>
  <c r="M6" i="36"/>
  <c r="M7" i="36"/>
  <c r="M10" i="36"/>
  <c r="M8" i="36"/>
  <c r="M9" i="36"/>
  <c r="M11" i="36"/>
  <c r="M12" i="36"/>
  <c r="M13" i="36"/>
  <c r="M14" i="36"/>
  <c r="M15" i="36"/>
  <c r="M17" i="36"/>
  <c r="M16" i="36"/>
  <c r="M19" i="36"/>
  <c r="M20" i="36"/>
  <c r="M23" i="36"/>
  <c r="M21" i="36"/>
  <c r="M22" i="36"/>
  <c r="M24" i="36"/>
  <c r="M25" i="36"/>
  <c r="M26" i="36"/>
  <c r="M27" i="36"/>
  <c r="M28" i="36"/>
  <c r="M30" i="36"/>
  <c r="M31" i="36"/>
  <c r="M32" i="36"/>
  <c r="M34" i="36"/>
  <c r="M33" i="36"/>
  <c r="M35" i="36"/>
  <c r="M36" i="36"/>
  <c r="M38" i="36"/>
  <c r="M37" i="36"/>
  <c r="M39" i="36"/>
  <c r="M40" i="36"/>
  <c r="M42" i="36"/>
  <c r="M41" i="36"/>
  <c r="M43" i="36"/>
  <c r="M29" i="36"/>
  <c r="M18" i="36"/>
  <c r="I68" i="41"/>
  <c r="I69" i="41"/>
  <c r="I70" i="41"/>
  <c r="I71" i="41"/>
  <c r="I72" i="41"/>
  <c r="I73" i="41"/>
  <c r="I74" i="41"/>
  <c r="I75" i="41"/>
  <c r="I76" i="41"/>
  <c r="I77" i="41"/>
  <c r="I78" i="41"/>
  <c r="I79" i="41"/>
  <c r="I80" i="41"/>
  <c r="I81" i="41"/>
  <c r="I82" i="41"/>
  <c r="I83" i="41"/>
  <c r="I84" i="41"/>
  <c r="I85" i="41"/>
  <c r="I86" i="41"/>
  <c r="I87" i="41"/>
  <c r="I88" i="41"/>
  <c r="I89" i="41"/>
  <c r="I90" i="41"/>
  <c r="I91" i="41"/>
  <c r="I92" i="41"/>
  <c r="I93" i="41"/>
  <c r="I94" i="41"/>
  <c r="H18" i="36" a="1"/>
  <c r="H18" i="36" s="1"/>
  <c r="I18" i="36" a="1"/>
  <c r="I18" i="36" s="1"/>
  <c r="H29" i="36" a="1"/>
  <c r="H29" i="36" s="1"/>
  <c r="I29" i="36" a="1"/>
  <c r="I29" i="36" s="1"/>
  <c r="H33" i="36" a="1"/>
  <c r="H33" i="36" s="1"/>
  <c r="I33" i="36" a="1"/>
  <c r="I33" i="36" s="1"/>
  <c r="I35" i="36" a="1"/>
  <c r="I35" i="36" s="1"/>
  <c r="F5" i="37"/>
  <c r="F6" i="37"/>
  <c r="F7" i="37"/>
  <c r="F8" i="37"/>
  <c r="F9" i="37"/>
  <c r="F10" i="37"/>
  <c r="F11" i="37"/>
  <c r="F12" i="37"/>
  <c r="F13" i="37"/>
  <c r="F14" i="37"/>
  <c r="F15" i="37"/>
  <c r="F16" i="37"/>
  <c r="F17" i="37"/>
  <c r="F18" i="37"/>
  <c r="F19" i="37"/>
  <c r="F20" i="37"/>
  <c r="F21" i="37"/>
  <c r="F22" i="37"/>
  <c r="F23" i="37"/>
  <c r="F24" i="37"/>
  <c r="F25" i="37"/>
  <c r="F4" i="37"/>
  <c r="R5" i="26"/>
  <c r="R4" i="26"/>
  <c r="R6" i="26"/>
  <c r="R7" i="26"/>
  <c r="R8" i="26"/>
  <c r="R9" i="26"/>
  <c r="R10" i="26"/>
  <c r="R11" i="26"/>
  <c r="R12" i="26"/>
  <c r="R13" i="26"/>
  <c r="R14" i="26"/>
  <c r="I110" i="41"/>
  <c r="I111" i="41"/>
  <c r="I112" i="41"/>
  <c r="I113" i="41"/>
  <c r="I114" i="41"/>
  <c r="I115" i="41"/>
  <c r="I116" i="41"/>
  <c r="I117" i="41"/>
  <c r="I118" i="41"/>
  <c r="I119" i="41"/>
  <c r="I120" i="41"/>
  <c r="I121" i="41"/>
  <c r="I122" i="41"/>
  <c r="I44" i="41"/>
  <c r="I45" i="41"/>
  <c r="I46" i="41"/>
  <c r="I47" i="41"/>
  <c r="I52" i="41"/>
  <c r="I48" i="41"/>
  <c r="I49" i="41"/>
  <c r="I50" i="41"/>
  <c r="I51" i="41"/>
  <c r="I53" i="41"/>
  <c r="I54" i="41"/>
  <c r="I55" i="41"/>
  <c r="I56" i="41"/>
  <c r="I57" i="41"/>
  <c r="I62" i="41"/>
  <c r="I58" i="41"/>
  <c r="I59" i="41"/>
  <c r="I60" i="41"/>
  <c r="I61" i="41"/>
  <c r="I63" i="41"/>
  <c r="I64" i="41"/>
  <c r="I23" i="41"/>
  <c r="I24" i="41"/>
  <c r="I25" i="41"/>
  <c r="I26" i="41"/>
  <c r="I27" i="41"/>
  <c r="Q6" i="38"/>
  <c r="S6" i="38" s="1"/>
  <c r="Q7" i="38"/>
  <c r="S7" i="38" s="1"/>
  <c r="Q8" i="38"/>
  <c r="S8" i="38" s="1"/>
  <c r="Q9" i="38"/>
  <c r="S9" i="38" s="1"/>
  <c r="Q10" i="38"/>
  <c r="S10" i="38" s="1"/>
  <c r="Q11" i="38"/>
  <c r="S11" i="38" s="1"/>
  <c r="Q12" i="38"/>
  <c r="S12" i="38" s="1"/>
  <c r="Q13" i="38"/>
  <c r="S13" i="38" s="1"/>
  <c r="Q14" i="38"/>
  <c r="S14" i="38" s="1"/>
  <c r="Q5" i="38"/>
  <c r="S5" i="38" s="1"/>
  <c r="K13" i="38"/>
  <c r="K14" i="38"/>
  <c r="K5" i="38"/>
  <c r="K6" i="38"/>
  <c r="K7" i="38"/>
  <c r="K8" i="38"/>
  <c r="K9" i="38"/>
  <c r="K10" i="38"/>
  <c r="K11" i="38"/>
  <c r="K12" i="38"/>
  <c r="H99" i="41"/>
  <c r="I99" i="41" s="1"/>
  <c r="H100" i="41"/>
  <c r="I100" i="41" s="1"/>
  <c r="H101" i="41"/>
  <c r="I101" i="41" s="1"/>
  <c r="I102" i="41"/>
  <c r="H103" i="41"/>
  <c r="I103" i="41" s="1"/>
  <c r="H104" i="41"/>
  <c r="I104" i="41" s="1"/>
  <c r="H105" i="41"/>
  <c r="I105" i="41" s="1"/>
  <c r="H32" i="41"/>
  <c r="I32" i="41" s="1"/>
  <c r="H33" i="41"/>
  <c r="I33" i="41" s="1"/>
  <c r="H34" i="41"/>
  <c r="H35" i="41"/>
  <c r="I35" i="41" s="1"/>
  <c r="H36" i="41"/>
  <c r="I36" i="41" s="1"/>
  <c r="H37" i="41"/>
  <c r="H38" i="41"/>
  <c r="I38" i="41" s="1"/>
  <c r="H39" i="41"/>
  <c r="I39" i="41" s="1"/>
  <c r="H40" i="41"/>
  <c r="H31" i="41"/>
  <c r="F20" i="34"/>
  <c r="F21" i="34"/>
  <c r="F22" i="34"/>
  <c r="F23" i="34"/>
  <c r="F24" i="34"/>
  <c r="F4" i="33"/>
  <c r="F5" i="33"/>
  <c r="F6" i="33"/>
  <c r="F7" i="33"/>
  <c r="F8" i="33"/>
  <c r="F9" i="33"/>
  <c r="C5" i="33"/>
  <c r="C6" i="33"/>
  <c r="C7" i="33"/>
  <c r="C8" i="33"/>
  <c r="C9" i="33"/>
  <c r="C4" i="33"/>
  <c r="I34" i="41" l="1"/>
  <c r="I37" i="41"/>
  <c r="H18" i="41"/>
  <c r="I18" i="41" s="1"/>
  <c r="I31" i="41"/>
  <c r="H17" i="41"/>
  <c r="I17" i="41" s="1"/>
  <c r="H16" i="41"/>
  <c r="I16" i="41" s="1"/>
  <c r="I40" i="41"/>
  <c r="H15" i="41"/>
  <c r="I15" i="41" s="1"/>
  <c r="U4" i="28"/>
  <c r="U5" i="28"/>
  <c r="U6" i="28"/>
  <c r="U7" i="28"/>
  <c r="U8" i="28"/>
  <c r="U9" i="28"/>
  <c r="U10" i="28"/>
  <c r="U11" i="28"/>
  <c r="U12" i="28"/>
  <c r="U13" i="28"/>
  <c r="U14" i="28"/>
  <c r="U15" i="28"/>
  <c r="U16" i="28"/>
  <c r="U17" i="28"/>
  <c r="U18" i="28"/>
  <c r="U19" i="28"/>
  <c r="U20" i="28"/>
  <c r="U21" i="28"/>
  <c r="U22" i="28"/>
  <c r="H19" i="41" l="1"/>
  <c r="E4" i="18" a="1"/>
  <c r="E4" i="18" s="1"/>
  <c r="F4" i="18" s="1"/>
  <c r="E5" i="18" a="1"/>
  <c r="E5" i="18" s="1"/>
  <c r="F5" i="18" s="1"/>
  <c r="E6" i="18" a="1"/>
  <c r="E6" i="18" s="1"/>
  <c r="F6" i="18" s="1"/>
  <c r="E7" i="18" a="1"/>
  <c r="E7" i="18" s="1"/>
  <c r="F7" i="18" s="1"/>
  <c r="E8" i="18" a="1"/>
  <c r="E8" i="18" s="1"/>
  <c r="F8" i="18" s="1"/>
  <c r="E12" i="18" a="1"/>
  <c r="E12" i="18" s="1"/>
  <c r="F12" i="18" s="1"/>
  <c r="E9" i="18" a="1"/>
  <c r="E9" i="18" s="1"/>
  <c r="F9" i="18" s="1"/>
  <c r="E13" i="18" a="1"/>
  <c r="E13" i="18" s="1"/>
  <c r="F13" i="18" s="1"/>
  <c r="E10" i="18" a="1"/>
  <c r="E10" i="18" s="1"/>
  <c r="F10" i="18" s="1"/>
  <c r="E11" i="18" a="1"/>
  <c r="E11" i="18" s="1"/>
  <c r="F11" i="18" s="1"/>
  <c r="E15" i="18" a="1"/>
  <c r="E15" i="18" s="1"/>
  <c r="F15" i="18" s="1"/>
  <c r="E16" i="18" a="1"/>
  <c r="E16" i="18" s="1"/>
  <c r="F16" i="18" s="1"/>
  <c r="E17" i="18" a="1"/>
  <c r="E17" i="18" s="1"/>
  <c r="F17" i="18" s="1"/>
  <c r="E14" i="18" a="1"/>
  <c r="E14" i="18" s="1"/>
  <c r="F14" i="18" s="1"/>
  <c r="E18" i="18" a="1"/>
  <c r="E18" i="18" s="1"/>
  <c r="F18" i="18" s="1"/>
  <c r="E19" i="18" a="1"/>
  <c r="E19" i="18" s="1"/>
  <c r="F19" i="18" s="1"/>
  <c r="A22" i="29" l="1"/>
  <c r="A23" i="29"/>
  <c r="A31" i="29"/>
  <c r="A35" i="29"/>
  <c r="A47" i="29"/>
  <c r="A48" i="29"/>
  <c r="A43" i="29"/>
  <c r="A44" i="29"/>
  <c r="A49" i="29"/>
  <c r="A32" i="29"/>
  <c r="A33" i="29"/>
  <c r="A24" i="29"/>
  <c r="A36" i="29"/>
  <c r="A25" i="29"/>
  <c r="A26" i="29"/>
  <c r="A27" i="29"/>
  <c r="A34" i="29"/>
  <c r="A28" i="29"/>
  <c r="A29" i="29"/>
  <c r="A30" i="29"/>
  <c r="A37" i="29"/>
  <c r="A38" i="29"/>
  <c r="A39" i="29"/>
  <c r="A45" i="29"/>
  <c r="A40" i="29"/>
  <c r="A41" i="29"/>
  <c r="A46" i="29"/>
  <c r="A42" i="29"/>
  <c r="A50" i="29"/>
  <c r="A7" i="29"/>
  <c r="A8" i="29"/>
  <c r="A4" i="29"/>
  <c r="A5" i="29"/>
  <c r="A9" i="29"/>
  <c r="A6" i="29"/>
  <c r="A10" i="29"/>
  <c r="A11" i="29"/>
  <c r="A12" i="29"/>
  <c r="A13" i="29"/>
  <c r="A14" i="29"/>
  <c r="A15" i="29"/>
  <c r="A18" i="29"/>
  <c r="A19" i="29"/>
  <c r="A16" i="29"/>
  <c r="A20" i="29"/>
  <c r="A17" i="29"/>
  <c r="A21" i="29"/>
  <c r="I22" i="29"/>
  <c r="J22" i="29" s="1"/>
  <c r="I21" i="29"/>
  <c r="J21" i="29" s="1"/>
  <c r="I12" i="29"/>
  <c r="J12" i="29" s="1"/>
  <c r="I13" i="29"/>
  <c r="J13" i="29" s="1"/>
  <c r="I14" i="29"/>
  <c r="J14" i="29" s="1"/>
  <c r="I15" i="29"/>
  <c r="J15" i="29" s="1"/>
  <c r="I18" i="29"/>
  <c r="J18" i="29" s="1"/>
  <c r="I19" i="29"/>
  <c r="J19" i="29" s="1"/>
  <c r="I16" i="29"/>
  <c r="J16" i="29" s="1"/>
  <c r="I20" i="29"/>
  <c r="J20" i="29" s="1"/>
  <c r="I17" i="29"/>
  <c r="J17" i="29" s="1"/>
  <c r="I23" i="29"/>
  <c r="J23" i="29" s="1"/>
  <c r="I31" i="29"/>
  <c r="J31" i="29" s="1"/>
  <c r="I35" i="29"/>
  <c r="J35" i="29" s="1"/>
  <c r="I47" i="29"/>
  <c r="J47" i="29" s="1"/>
  <c r="I48" i="29"/>
  <c r="J48" i="29" s="1"/>
  <c r="I43" i="29"/>
  <c r="J43" i="29" s="1"/>
  <c r="I44" i="29"/>
  <c r="J44" i="29" s="1"/>
  <c r="I49" i="29"/>
  <c r="J49" i="29" s="1"/>
  <c r="I32" i="29"/>
  <c r="J32" i="29" s="1"/>
  <c r="I33" i="29"/>
  <c r="J33" i="29" s="1"/>
  <c r="I24" i="29"/>
  <c r="J24" i="29" s="1"/>
  <c r="I36" i="29"/>
  <c r="J36" i="29" s="1"/>
  <c r="I25" i="29"/>
  <c r="J25" i="29" s="1"/>
  <c r="I26" i="29"/>
  <c r="J26" i="29" s="1"/>
  <c r="I27" i="29"/>
  <c r="J27" i="29" s="1"/>
  <c r="I34" i="29"/>
  <c r="J34" i="29" s="1"/>
  <c r="I28" i="29"/>
  <c r="J28" i="29" s="1"/>
  <c r="I29" i="29"/>
  <c r="J29" i="29" s="1"/>
  <c r="I30" i="29"/>
  <c r="J30" i="29" s="1"/>
  <c r="I37" i="29"/>
  <c r="J37" i="29" s="1"/>
  <c r="I38" i="29"/>
  <c r="J38" i="29" s="1"/>
  <c r="I39" i="29"/>
  <c r="J39" i="29" s="1"/>
  <c r="I45" i="29"/>
  <c r="J45" i="29" s="1"/>
  <c r="I40" i="29"/>
  <c r="J40" i="29" s="1"/>
  <c r="I41" i="29"/>
  <c r="J41" i="29" s="1"/>
  <c r="I46" i="29"/>
  <c r="J46" i="29" s="1"/>
  <c r="I42" i="29"/>
  <c r="J42" i="29" s="1"/>
  <c r="I50" i="29"/>
  <c r="J50" i="29" s="1"/>
  <c r="I7" i="29"/>
  <c r="J7" i="29" s="1"/>
  <c r="I8" i="29"/>
  <c r="J8" i="29" s="1"/>
  <c r="I4" i="29"/>
  <c r="J4" i="29" s="1"/>
  <c r="I5" i="29"/>
  <c r="J5" i="29" s="1"/>
  <c r="I9" i="29"/>
  <c r="J9" i="29" s="1"/>
  <c r="I6" i="29"/>
  <c r="J6" i="29" s="1"/>
  <c r="I10" i="29"/>
  <c r="J10" i="29" s="1"/>
  <c r="I11" i="29"/>
  <c r="J11" i="29" s="1"/>
  <c r="C15" i="76" l="1"/>
  <c r="D15" i="76"/>
  <c r="E15" i="76"/>
  <c r="C13" i="75" l="1"/>
  <c r="C14" i="75"/>
  <c r="C15" i="75"/>
  <c r="D13" i="75"/>
  <c r="D14" i="75"/>
  <c r="D15" i="75"/>
  <c r="E13" i="75"/>
  <c r="E14" i="75"/>
  <c r="E15" i="75"/>
  <c r="E21" i="25"/>
  <c r="E22" i="25"/>
  <c r="E23" i="25"/>
  <c r="E24" i="25"/>
  <c r="E25" i="25"/>
  <c r="E26" i="25"/>
  <c r="E27" i="25"/>
  <c r="E28" i="25"/>
  <c r="E29" i="25"/>
  <c r="E30" i="25"/>
  <c r="E21" i="75"/>
  <c r="E26" i="75"/>
  <c r="E25" i="75"/>
  <c r="E24" i="75"/>
  <c r="E30" i="75"/>
  <c r="E29" i="75"/>
  <c r="E28" i="75"/>
  <c r="E27" i="75"/>
  <c r="E23" i="75"/>
  <c r="E22" i="75"/>
  <c r="D21" i="25"/>
  <c r="E22" i="76"/>
  <c r="E23" i="76"/>
  <c r="E25" i="76"/>
  <c r="E26" i="76"/>
  <c r="E27" i="76"/>
  <c r="E29" i="76"/>
  <c r="E20" i="76"/>
  <c r="E21" i="76"/>
  <c r="E24" i="76"/>
  <c r="E28" i="76"/>
  <c r="E19" i="76"/>
  <c r="E17" i="77"/>
  <c r="E18" i="77"/>
  <c r="E19" i="77"/>
  <c r="E20" i="77"/>
  <c r="E21" i="77"/>
  <c r="E22" i="77"/>
  <c r="E23" i="77"/>
  <c r="E24" i="77"/>
  <c r="E25" i="77"/>
  <c r="E26" i="77"/>
  <c r="D17" i="77"/>
  <c r="D18" i="77"/>
  <c r="D19" i="77"/>
  <c r="D20" i="77"/>
  <c r="D21" i="77"/>
  <c r="D22" i="77"/>
  <c r="D23" i="77"/>
  <c r="D24" i="77"/>
  <c r="D25" i="77"/>
  <c r="D26" i="77"/>
  <c r="D22" i="76"/>
  <c r="D23" i="76"/>
  <c r="D25" i="76"/>
  <c r="D26" i="76"/>
  <c r="D27" i="76"/>
  <c r="D29" i="76"/>
  <c r="D20" i="76"/>
  <c r="D21" i="76"/>
  <c r="D24" i="76"/>
  <c r="D28" i="76"/>
  <c r="D19" i="76"/>
  <c r="D22" i="75"/>
  <c r="D23" i="75"/>
  <c r="D27" i="75"/>
  <c r="D28" i="75"/>
  <c r="D29" i="75"/>
  <c r="D30" i="75"/>
  <c r="D24" i="75"/>
  <c r="D25" i="75"/>
  <c r="D26" i="75"/>
  <c r="D21" i="75"/>
  <c r="D22" i="25"/>
  <c r="D23" i="25"/>
  <c r="D24" i="25"/>
  <c r="D25" i="25"/>
  <c r="D26" i="25"/>
  <c r="D27" i="25"/>
  <c r="D28" i="25"/>
  <c r="D29" i="25"/>
  <c r="D30" i="25"/>
  <c r="C21" i="25"/>
  <c r="C22" i="25"/>
  <c r="C23" i="25"/>
  <c r="C24" i="25"/>
  <c r="C25" i="25"/>
  <c r="C26" i="25"/>
  <c r="C27" i="25"/>
  <c r="C28" i="25"/>
  <c r="C29" i="25"/>
  <c r="C30" i="25"/>
  <c r="C13" i="25"/>
  <c r="C14" i="25"/>
  <c r="D13" i="25"/>
  <c r="D14" i="25"/>
  <c r="E13" i="25"/>
  <c r="E14" i="25"/>
  <c r="C15" i="25"/>
  <c r="C16" i="25"/>
  <c r="D15" i="25"/>
  <c r="D16" i="25"/>
  <c r="E15" i="25"/>
  <c r="E16" i="25"/>
  <c r="J12" i="23"/>
  <c r="K12" i="23" s="1" a="1"/>
  <c r="K12" i="23" s="1"/>
  <c r="L12" i="23" s="1"/>
  <c r="J7" i="23"/>
  <c r="K7" i="23" s="1" a="1"/>
  <c r="K7" i="23" s="1"/>
  <c r="L7" i="23" s="1"/>
  <c r="J13" i="23"/>
  <c r="K13" i="23" s="1" a="1"/>
  <c r="K13" i="23" s="1"/>
  <c r="L13" i="23" s="1"/>
  <c r="A24" i="69"/>
  <c r="A13" i="69"/>
  <c r="A14" i="69"/>
  <c r="A11" i="69"/>
  <c r="A17" i="69"/>
  <c r="A20" i="69"/>
  <c r="A22" i="69"/>
  <c r="A23" i="69"/>
  <c r="A19" i="69"/>
  <c r="A21" i="69"/>
  <c r="A8" i="69"/>
  <c r="A9" i="69"/>
  <c r="A10" i="69"/>
  <c r="A12" i="69"/>
  <c r="A15" i="69"/>
  <c r="A16" i="69"/>
  <c r="A18" i="69"/>
  <c r="O4" i="71" a="1"/>
  <c r="O4" i="71" s="1"/>
  <c r="P4" i="71" s="1"/>
  <c r="O5" i="71" a="1"/>
  <c r="O5" i="71" s="1"/>
  <c r="P5" i="71" s="1"/>
  <c r="O6" i="71" a="1"/>
  <c r="O6" i="71" s="1"/>
  <c r="P6" i="71" s="1"/>
  <c r="O7" i="71" a="1"/>
  <c r="O7" i="71" s="1"/>
  <c r="P7" i="71" s="1"/>
  <c r="O9" i="71" a="1"/>
  <c r="O9" i="71" s="1"/>
  <c r="P9" i="71" s="1"/>
  <c r="O10" i="71" a="1"/>
  <c r="O10" i="71" s="1"/>
  <c r="P10" i="71" s="1"/>
  <c r="O11" i="71" a="1"/>
  <c r="O11" i="71" s="1"/>
  <c r="P11" i="71" s="1"/>
  <c r="O12" i="71" a="1"/>
  <c r="O12" i="71" s="1"/>
  <c r="P12" i="71" s="1"/>
  <c r="O13" i="71" a="1"/>
  <c r="O13" i="71" s="1"/>
  <c r="P13" i="71" s="1"/>
  <c r="O14" i="71" a="1"/>
  <c r="O14" i="71" s="1"/>
  <c r="P14" i="71" s="1"/>
  <c r="O15" i="71" a="1"/>
  <c r="O15" i="71" s="1"/>
  <c r="P15" i="71" s="1"/>
  <c r="O16" i="71" a="1"/>
  <c r="O16" i="71" s="1"/>
  <c r="P16" i="71" s="1"/>
  <c r="O17" i="71" a="1"/>
  <c r="O17" i="71" s="1"/>
  <c r="P17" i="71" s="1"/>
  <c r="O18" i="71" a="1"/>
  <c r="O18" i="71" s="1"/>
  <c r="P18" i="71" s="1"/>
  <c r="O19" i="71" a="1"/>
  <c r="O19" i="71" s="1"/>
  <c r="P19" i="71" s="1"/>
  <c r="O20" i="71" a="1"/>
  <c r="O20" i="71" s="1"/>
  <c r="P20" i="71" s="1"/>
  <c r="O21" i="71" a="1"/>
  <c r="O21" i="71" s="1"/>
  <c r="P21" i="71" s="1"/>
  <c r="O22" i="71" a="1"/>
  <c r="O22" i="71" s="1"/>
  <c r="P22" i="71" s="1"/>
  <c r="O23" i="71" a="1"/>
  <c r="O23" i="71" s="1"/>
  <c r="P23" i="71" s="1"/>
  <c r="O24" i="71" a="1"/>
  <c r="O24" i="71" s="1"/>
  <c r="P24" i="71" s="1"/>
  <c r="Q19" i="71" l="1"/>
  <c r="Q18" i="71"/>
  <c r="Q17" i="71"/>
  <c r="Q16" i="71"/>
  <c r="Q15" i="71"/>
  <c r="Q14" i="71"/>
  <c r="Q13" i="71"/>
  <c r="Q12" i="71"/>
  <c r="Q11" i="71"/>
  <c r="Q10" i="71"/>
  <c r="Q9" i="71"/>
  <c r="Q24" i="71"/>
  <c r="Q8" i="71"/>
  <c r="Q23" i="71"/>
  <c r="Q7" i="71"/>
  <c r="Q22" i="71"/>
  <c r="Q6" i="71"/>
  <c r="Q21" i="71"/>
  <c r="Q5" i="71"/>
  <c r="Q20" i="71"/>
  <c r="A29" i="78" a="1"/>
  <c r="A29" i="78" s="1"/>
  <c r="A4" i="78" a="1"/>
  <c r="A4" i="78" s="1"/>
  <c r="C17" i="77" l="1"/>
  <c r="C18" i="77"/>
  <c r="C19" i="77"/>
  <c r="C20" i="77"/>
  <c r="C21" i="77"/>
  <c r="C22" i="77"/>
  <c r="C23" i="77"/>
  <c r="C24" i="77"/>
  <c r="C25" i="77"/>
  <c r="C26" i="77"/>
  <c r="C22" i="76"/>
  <c r="C23" i="76"/>
  <c r="C25" i="76"/>
  <c r="C26" i="76"/>
  <c r="C27" i="76"/>
  <c r="C29" i="76"/>
  <c r="C20" i="76"/>
  <c r="C21" i="76"/>
  <c r="C24" i="76"/>
  <c r="C28" i="76"/>
  <c r="C19" i="76"/>
  <c r="C22" i="75"/>
  <c r="C23" i="75"/>
  <c r="C27" i="75"/>
  <c r="C28" i="75"/>
  <c r="C29" i="75"/>
  <c r="C30" i="75"/>
  <c r="C24" i="75"/>
  <c r="C25" i="75"/>
  <c r="C26" i="75"/>
  <c r="C21" i="75"/>
  <c r="C7" i="78"/>
  <c r="C8" i="78"/>
  <c r="C9" i="78"/>
  <c r="C10" i="78"/>
  <c r="C11" i="78"/>
  <c r="C12" i="78"/>
  <c r="C13" i="78"/>
  <c r="C14" i="78"/>
  <c r="C15" i="78"/>
  <c r="C16" i="78"/>
  <c r="C17" i="78"/>
  <c r="C18" i="78"/>
  <c r="C19" i="78"/>
  <c r="C20" i="78"/>
  <c r="C21" i="78"/>
  <c r="C22" i="78"/>
  <c r="C23" i="78"/>
  <c r="C24" i="78"/>
  <c r="C38" i="78"/>
  <c r="C39" i="78"/>
  <c r="C40" i="78"/>
  <c r="C41" i="78"/>
  <c r="C42" i="78"/>
  <c r="C43" i="78"/>
  <c r="C44" i="78"/>
  <c r="C45" i="78"/>
  <c r="C46" i="78"/>
  <c r="C47" i="78"/>
  <c r="C48" i="78"/>
  <c r="C49" i="78"/>
  <c r="C35" i="78"/>
  <c r="C36" i="78"/>
  <c r="C37" i="78"/>
  <c r="C14" i="77" l="1"/>
  <c r="D14" i="77"/>
  <c r="E14" i="77"/>
  <c r="C16" i="75"/>
  <c r="D16" i="75"/>
  <c r="E16" i="75"/>
  <c r="C17" i="25"/>
  <c r="D17" i="25"/>
  <c r="E17" i="25"/>
  <c r="C18" i="25"/>
  <c r="D18" i="25"/>
  <c r="E18" i="25"/>
  <c r="J9" i="23"/>
  <c r="K9" i="23" s="1" a="1"/>
  <c r="K9" i="23" s="1"/>
  <c r="L9" i="23" s="1"/>
  <c r="J10" i="23"/>
  <c r="K10" i="23" s="1" a="1"/>
  <c r="K10" i="23" s="1"/>
  <c r="L10" i="23" s="1"/>
  <c r="J5" i="23"/>
  <c r="K5" i="23" s="1" a="1"/>
  <c r="K5" i="23" s="1"/>
  <c r="L5" i="23" s="1"/>
  <c r="J4" i="23"/>
  <c r="K4" i="23" s="1" a="1"/>
  <c r="K4" i="23" s="1"/>
  <c r="L4" i="23" s="1"/>
  <c r="J6" i="23"/>
  <c r="K6" i="23" s="1" a="1"/>
  <c r="K6" i="23" s="1"/>
  <c r="L6" i="23" s="1"/>
  <c r="J8" i="23"/>
  <c r="K8" i="23" s="1" a="1"/>
  <c r="K8" i="23" s="1"/>
  <c r="L8" i="23" s="1"/>
  <c r="J11" i="23"/>
  <c r="K11" i="23" s="1" a="1"/>
  <c r="K11" i="23" s="1"/>
  <c r="L11" i="23" s="1"/>
  <c r="B35" i="78"/>
  <c r="B36" i="78"/>
  <c r="B37" i="78"/>
  <c r="B38" i="78"/>
  <c r="B39" i="78"/>
  <c r="B40" i="78"/>
  <c r="B41" i="78"/>
  <c r="B42" i="78"/>
  <c r="B43" i="78"/>
  <c r="B44" i="78"/>
  <c r="B45" i="78"/>
  <c r="B46" i="78"/>
  <c r="B47" i="78"/>
  <c r="Y49" i="78"/>
  <c r="Y48" i="78"/>
  <c r="Y47" i="78"/>
  <c r="Y46" i="78"/>
  <c r="Y45" i="78"/>
  <c r="Y44" i="78"/>
  <c r="Y43" i="78"/>
  <c r="Y42" i="78"/>
  <c r="Y41" i="78"/>
  <c r="Y40" i="78"/>
  <c r="Y38" i="78"/>
  <c r="Y37" i="78"/>
  <c r="Y39" i="78"/>
  <c r="Y36" i="78"/>
  <c r="Y35" i="78"/>
  <c r="Y24" i="78"/>
  <c r="Y23" i="78"/>
  <c r="Y22" i="78"/>
  <c r="Y21" i="78"/>
  <c r="Y20" i="78"/>
  <c r="Y19" i="78"/>
  <c r="Y18" i="78"/>
  <c r="Y17" i="78"/>
  <c r="Y16" i="78"/>
  <c r="Y15" i="78"/>
  <c r="Y14" i="78"/>
  <c r="Y13" i="78"/>
  <c r="Y12" i="78"/>
  <c r="Y11" i="78"/>
  <c r="B49" i="78"/>
  <c r="B48" i="78"/>
  <c r="B23" i="78"/>
  <c r="B24" i="78"/>
  <c r="B11" i="78"/>
  <c r="B12" i="78"/>
  <c r="B13" i="78"/>
  <c r="B14" i="78"/>
  <c r="B15" i="78"/>
  <c r="B16" i="78"/>
  <c r="B17" i="78"/>
  <c r="B18" i="78"/>
  <c r="B19" i="78"/>
  <c r="B20" i="78"/>
  <c r="B21" i="78"/>
  <c r="B22" i="78"/>
  <c r="B4" i="78" l="1"/>
  <c r="Y29" i="78"/>
  <c r="E4" i="33"/>
  <c r="E5" i="33"/>
  <c r="E6" i="33"/>
  <c r="E7" i="33"/>
  <c r="E8" i="33"/>
  <c r="E9" i="33"/>
  <c r="B4" i="33"/>
  <c r="B5" i="33"/>
  <c r="B6" i="33"/>
  <c r="B7" i="33"/>
  <c r="B8" i="33"/>
  <c r="B9" i="33"/>
  <c r="I4" i="33"/>
  <c r="I5" i="33"/>
  <c r="I6" i="33"/>
  <c r="I7" i="33"/>
  <c r="I8" i="33"/>
  <c r="I9" i="33"/>
  <c r="D5" i="33"/>
  <c r="D6" i="33"/>
  <c r="D7" i="33"/>
  <c r="D8" i="33"/>
  <c r="D9" i="33"/>
  <c r="D4" i="33"/>
  <c r="G4" i="33"/>
  <c r="G5" i="33"/>
  <c r="G6" i="33"/>
  <c r="G7" i="33"/>
  <c r="G8" i="33"/>
  <c r="G9" i="33"/>
  <c r="H5" i="33"/>
  <c r="H6" i="33"/>
  <c r="H7" i="33"/>
  <c r="H8" i="33"/>
  <c r="H9" i="33"/>
  <c r="H4" i="33"/>
  <c r="C12" i="76"/>
  <c r="C13" i="76"/>
  <c r="D12" i="76"/>
  <c r="D13" i="76"/>
  <c r="E12" i="76"/>
  <c r="E13" i="76"/>
  <c r="C17" i="75"/>
  <c r="D17" i="75"/>
  <c r="E17" i="75"/>
  <c r="E12" i="77"/>
  <c r="D12" i="77"/>
  <c r="C12" i="77"/>
  <c r="E13" i="77"/>
  <c r="D13" i="77"/>
  <c r="C13" i="77"/>
  <c r="E16" i="76"/>
  <c r="D16" i="76"/>
  <c r="C16" i="76"/>
  <c r="E14" i="76"/>
  <c r="D14" i="76"/>
  <c r="C14" i="76"/>
  <c r="E18" i="75"/>
  <c r="D18" i="75"/>
  <c r="C18" i="75"/>
  <c r="E12" i="75"/>
  <c r="D12" i="75"/>
  <c r="C12" i="75"/>
  <c r="E12" i="25"/>
  <c r="D12" i="25"/>
  <c r="C12" i="25"/>
  <c r="H17" i="36" a="1"/>
  <c r="H17" i="36" s="1"/>
  <c r="I17" i="36" a="1"/>
  <c r="I17" i="36" s="1"/>
  <c r="I15" i="36" a="1"/>
  <c r="I15" i="36" s="1"/>
  <c r="H15" i="36" a="1"/>
  <c r="H15" i="36" s="1"/>
  <c r="C5" i="78" l="1"/>
  <c r="B10" i="78"/>
  <c r="B5" i="78"/>
  <c r="B33" i="78"/>
  <c r="B34" i="78"/>
  <c r="C30" i="78"/>
  <c r="B32" i="78"/>
  <c r="Y10" i="78"/>
  <c r="C31" i="78"/>
  <c r="C34" i="78"/>
  <c r="Y6" i="78"/>
  <c r="Y34" i="78"/>
  <c r="Y30" i="78"/>
  <c r="B6" i="78"/>
  <c r="Y9" i="78"/>
  <c r="B8" i="78"/>
  <c r="Y8" i="78"/>
  <c r="B9" i="78"/>
  <c r="Y33" i="78"/>
  <c r="B7" i="78"/>
  <c r="Y5" i="78"/>
  <c r="B31" i="78"/>
  <c r="Y32" i="78"/>
  <c r="C6" i="78"/>
  <c r="C33" i="78"/>
  <c r="Y7" i="78"/>
  <c r="B30" i="78"/>
  <c r="Y31" i="78"/>
  <c r="C32" i="78"/>
  <c r="Y4" i="78"/>
  <c r="C29" i="78"/>
  <c r="B29" i="78"/>
  <c r="C4" i="78"/>
  <c r="D3" i="78" l="1" a="1"/>
  <c r="D3" i="78" s="1"/>
  <c r="D28" i="78" a="1"/>
  <c r="D28" i="78" s="1"/>
  <c r="H43" i="36" a="1"/>
  <c r="H43" i="36" s="1"/>
  <c r="I43" i="36" a="1"/>
  <c r="I43" i="36" s="1"/>
  <c r="F25" i="34"/>
  <c r="F19" i="34"/>
  <c r="F26" i="34"/>
  <c r="F27" i="34"/>
  <c r="F28" i="34"/>
  <c r="H41" i="36" a="1"/>
  <c r="H41" i="36" s="1"/>
  <c r="I41" i="36" a="1"/>
  <c r="I41" i="36" s="1"/>
  <c r="H37" i="36" a="1"/>
  <c r="H37" i="36" s="1"/>
  <c r="I37" i="36" a="1"/>
  <c r="I37" i="36" s="1"/>
  <c r="H42" i="36" a="1"/>
  <c r="H42" i="36" s="1"/>
  <c r="I42" i="36" a="1"/>
  <c r="I42" i="36" s="1"/>
  <c r="D120" i="26"/>
  <c r="E120" i="26"/>
  <c r="F120" i="26"/>
  <c r="G120" i="26"/>
  <c r="H120" i="26"/>
  <c r="I120" i="26"/>
  <c r="J120" i="26"/>
  <c r="K120" i="26"/>
  <c r="L120" i="26"/>
  <c r="M120" i="26"/>
  <c r="C120" i="26"/>
  <c r="F32" i="34" l="1"/>
  <c r="Z31" i="78" a="1"/>
  <c r="Z31" i="78" s="1"/>
  <c r="Z42" i="78" a="1"/>
  <c r="Z42" i="78" s="1"/>
  <c r="Z38" i="78" a="1"/>
  <c r="Z38" i="78" s="1"/>
  <c r="Z44" i="78" a="1"/>
  <c r="Z44" i="78" s="1"/>
  <c r="Z40" i="78" a="1"/>
  <c r="Z40" i="78" s="1"/>
  <c r="Z41" i="78" a="1"/>
  <c r="Z41" i="78" s="1"/>
  <c r="Z43" i="78" a="1"/>
  <c r="Z43" i="78" s="1"/>
  <c r="Z46" i="78" a="1"/>
  <c r="Z46" i="78" s="1"/>
  <c r="Z48" i="78" a="1"/>
  <c r="Z48" i="78" s="1"/>
  <c r="Z45" i="78" a="1"/>
  <c r="Z45" i="78" s="1"/>
  <c r="Z47" i="78" a="1"/>
  <c r="Z47" i="78" s="1"/>
  <c r="Z35" i="78" a="1"/>
  <c r="Z35" i="78" s="1"/>
  <c r="Z33" i="78" a="1"/>
  <c r="Z33" i="78" s="1"/>
  <c r="Z49" i="78" a="1"/>
  <c r="Z49" i="78" s="1"/>
  <c r="Z32" i="78" a="1"/>
  <c r="Z32" i="78" s="1"/>
  <c r="Z30" i="78" a="1"/>
  <c r="Z30" i="78" s="1"/>
  <c r="Z29" i="78" a="1"/>
  <c r="Z29" i="78" s="1"/>
  <c r="Z39" i="78" a="1"/>
  <c r="Z39" i="78" s="1"/>
  <c r="Z37" i="78" a="1"/>
  <c r="Z37" i="78" s="1"/>
  <c r="Z36" i="78" a="1"/>
  <c r="Z36" i="78" s="1"/>
  <c r="Z34" i="78" a="1"/>
  <c r="Z34" i="78" s="1"/>
  <c r="Z4" i="78" a="1"/>
  <c r="Z4" i="78" s="1"/>
  <c r="Z8" i="78" a="1"/>
  <c r="Z8" i="78" s="1"/>
  <c r="Z24" i="78" a="1"/>
  <c r="Z24" i="78" s="1"/>
  <c r="Z7" i="78" a="1"/>
  <c r="Z7" i="78" s="1"/>
  <c r="Z17" i="78" a="1"/>
  <c r="Z17" i="78" s="1"/>
  <c r="Z16" i="78" a="1"/>
  <c r="Z16" i="78" s="1"/>
  <c r="Z15" i="78" a="1"/>
  <c r="Z15" i="78" s="1"/>
  <c r="Z14" i="78" a="1"/>
  <c r="Z14" i="78" s="1"/>
  <c r="Z23" i="78" a="1"/>
  <c r="Z23" i="78" s="1"/>
  <c r="Z10" i="78" a="1"/>
  <c r="Z10" i="78" s="1"/>
  <c r="Z19" i="78" a="1"/>
  <c r="Z19" i="78" s="1"/>
  <c r="Z18" i="78" a="1"/>
  <c r="Z18" i="78" s="1"/>
  <c r="Z22" i="78" a="1"/>
  <c r="Z22" i="78" s="1"/>
  <c r="Z9" i="78" a="1"/>
  <c r="Z9" i="78" s="1"/>
  <c r="Z21" i="78" a="1"/>
  <c r="Z21" i="78" s="1"/>
  <c r="Z6" i="78" a="1"/>
  <c r="Z6" i="78" s="1"/>
  <c r="Z20" i="78" a="1"/>
  <c r="Z20" i="78" s="1"/>
  <c r="Z5" i="78" a="1"/>
  <c r="Z5" i="78" s="1"/>
  <c r="Z11" i="78" a="1"/>
  <c r="Z11" i="78" s="1"/>
  <c r="Z13" i="78" a="1"/>
  <c r="Z13" i="78" s="1"/>
  <c r="Z12" i="78" a="1"/>
  <c r="Z12" i="78" s="1"/>
  <c r="I28" i="36" a="1"/>
  <c r="I28" i="36" s="1"/>
  <c r="I22" i="36" a="1"/>
  <c r="I22" i="36" s="1"/>
  <c r="I30" i="36" a="1"/>
  <c r="I30" i="36" s="1"/>
  <c r="I5" i="36" a="1"/>
  <c r="I5" i="36" s="1"/>
  <c r="I31" i="36" a="1"/>
  <c r="I31" i="36" s="1"/>
  <c r="I32" i="36" a="1"/>
  <c r="I32" i="36" s="1"/>
  <c r="I34" i="36" a="1"/>
  <c r="I34" i="36" s="1"/>
  <c r="I36" i="36" a="1"/>
  <c r="I36" i="36" s="1"/>
  <c r="I38" i="36" a="1"/>
  <c r="I38" i="36" s="1"/>
  <c r="I39" i="36" a="1"/>
  <c r="I39" i="36" s="1"/>
  <c r="I40" i="36" a="1"/>
  <c r="I40" i="36" s="1"/>
  <c r="H22" i="36" a="1"/>
  <c r="H22" i="36" s="1"/>
  <c r="H30" i="36" a="1"/>
  <c r="H30" i="36" s="1"/>
  <c r="H5" i="36" a="1"/>
  <c r="H5" i="36" s="1"/>
  <c r="H31" i="36" a="1"/>
  <c r="H31" i="36" s="1"/>
  <c r="H32" i="36" a="1"/>
  <c r="H32" i="36" s="1"/>
  <c r="H34" i="36" a="1"/>
  <c r="H34" i="36" s="1"/>
  <c r="H35" i="36" a="1"/>
  <c r="H35" i="36" s="1"/>
  <c r="H36" i="36" a="1"/>
  <c r="H36" i="36" s="1"/>
  <c r="H38" i="36" a="1"/>
  <c r="H38" i="36" s="1"/>
  <c r="H39" i="36" a="1"/>
  <c r="H39" i="36" s="1"/>
  <c r="H40" i="36" a="1"/>
  <c r="H40" i="36" s="1"/>
  <c r="H27" i="36" a="1"/>
  <c r="H27" i="36" s="1"/>
  <c r="H28" i="36" a="1"/>
  <c r="H28" i="36" s="1"/>
  <c r="H7" i="36" a="1"/>
  <c r="H7" i="36" s="1"/>
  <c r="I7" i="36" a="1"/>
  <c r="I7" i="36" s="1"/>
  <c r="I4" i="36" a="1"/>
  <c r="I4" i="36" s="1"/>
  <c r="H6" i="36" a="1"/>
  <c r="H6" i="36" s="1"/>
  <c r="I6" i="36" a="1"/>
  <c r="I6" i="36" s="1"/>
  <c r="I2" i="36" a="1"/>
  <c r="I2" i="36" s="1"/>
  <c r="I3" i="36" a="1"/>
  <c r="I3" i="36" s="1"/>
  <c r="I10" i="36" a="1"/>
  <c r="I10" i="36" s="1"/>
  <c r="I8" i="36" a="1"/>
  <c r="I8" i="36" s="1"/>
  <c r="I9" i="36" a="1"/>
  <c r="I9" i="36" s="1"/>
  <c r="I11" i="36" a="1"/>
  <c r="I11" i="36" s="1"/>
  <c r="I12" i="36" a="1"/>
  <c r="I12" i="36" s="1"/>
  <c r="I13" i="36" a="1"/>
  <c r="I13" i="36" s="1"/>
  <c r="I14" i="36" a="1"/>
  <c r="I14" i="36" s="1"/>
  <c r="I16" i="36" a="1"/>
  <c r="I16" i="36" s="1"/>
  <c r="I19" i="36" a="1"/>
  <c r="I19" i="36" s="1"/>
  <c r="I20" i="36" a="1"/>
  <c r="I20" i="36" s="1"/>
  <c r="I23" i="36" a="1"/>
  <c r="I23" i="36" s="1"/>
  <c r="I21" i="36" a="1"/>
  <c r="I21" i="36" s="1"/>
  <c r="I24" i="36" a="1"/>
  <c r="I24" i="36" s="1"/>
  <c r="I25" i="36" a="1"/>
  <c r="I25" i="36" s="1"/>
  <c r="I26" i="36" a="1"/>
  <c r="I26" i="36" s="1"/>
  <c r="I27" i="36" a="1"/>
  <c r="I27" i="36" s="1"/>
  <c r="H2" i="36" a="1"/>
  <c r="H2" i="36" s="1"/>
  <c r="H4" i="36" a="1"/>
  <c r="H4" i="36" s="1"/>
  <c r="H3" i="36" a="1"/>
  <c r="H3" i="36" s="1"/>
  <c r="H10" i="36" a="1"/>
  <c r="H10" i="36" s="1"/>
  <c r="H9" i="36" a="1"/>
  <c r="H9" i="36" s="1"/>
  <c r="H11" i="36" a="1"/>
  <c r="H11" i="36" s="1"/>
  <c r="H12" i="36" a="1"/>
  <c r="H12" i="36" s="1"/>
  <c r="H13" i="36" a="1"/>
  <c r="H13" i="36" s="1"/>
  <c r="H14" i="36" a="1"/>
  <c r="H14" i="36" s="1"/>
  <c r="H16" i="36" a="1"/>
  <c r="H16" i="36" s="1"/>
  <c r="H19" i="36" a="1"/>
  <c r="H19" i="36" s="1"/>
  <c r="H20" i="36" a="1"/>
  <c r="H20" i="36" s="1"/>
  <c r="H23" i="36" a="1"/>
  <c r="H23" i="36" s="1"/>
  <c r="H21" i="36" a="1"/>
  <c r="H21" i="36" s="1"/>
  <c r="H24" i="36" a="1"/>
  <c r="H24" i="36" s="1"/>
  <c r="H25" i="36" a="1"/>
  <c r="H25" i="36" s="1"/>
  <c r="H26" i="36" a="1"/>
  <c r="H26" i="36" s="1"/>
  <c r="D100" i="26"/>
  <c r="E100" i="26"/>
  <c r="F100" i="26"/>
  <c r="G100" i="26"/>
  <c r="H100" i="26"/>
  <c r="I100" i="26"/>
  <c r="J100" i="26"/>
  <c r="K100" i="26"/>
  <c r="L100" i="26"/>
  <c r="M100" i="26"/>
  <c r="C100" i="26"/>
  <c r="Q4" i="71"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<sst xmlns="http://schemas.openxmlformats.org/spreadsheetml/2006/main" count="4106" uniqueCount="2294">
  <si>
    <t>Significant</t>
  </si>
  <si>
    <t>Major</t>
  </si>
  <si>
    <t>Minor</t>
  </si>
  <si>
    <t>Economic</t>
  </si>
  <si>
    <t xml:space="preserve"> </t>
  </si>
  <si>
    <t>Matrix</t>
  </si>
  <si>
    <t>Constraint</t>
  </si>
  <si>
    <t>Restraint</t>
  </si>
  <si>
    <t>Specified</t>
  </si>
  <si>
    <t>Implied</t>
  </si>
  <si>
    <t>Operational Area (OA)</t>
  </si>
  <si>
    <t>Strategic Environment (SE)</t>
  </si>
  <si>
    <t>Strategic Issue</t>
  </si>
  <si>
    <t>Time Horizon</t>
  </si>
  <si>
    <t>Weakness</t>
  </si>
  <si>
    <t>Threat</t>
  </si>
  <si>
    <t>Strength</t>
  </si>
  <si>
    <t>Strategy</t>
  </si>
  <si>
    <t>Structure</t>
  </si>
  <si>
    <t>Shared Values</t>
  </si>
  <si>
    <t>Skills</t>
  </si>
  <si>
    <t>Staff</t>
  </si>
  <si>
    <t>Style</t>
  </si>
  <si>
    <t>Stakeholders</t>
  </si>
  <si>
    <t>Sources (of Means)</t>
  </si>
  <si>
    <t>A set point of time in the future when the desired endstate is expected to be achieved.</t>
  </si>
  <si>
    <t>Systems</t>
  </si>
  <si>
    <t>Political (Policy)</t>
  </si>
  <si>
    <t>Social (Culture)</t>
  </si>
  <si>
    <t>Technological</t>
  </si>
  <si>
    <t>Legal (Laws)</t>
  </si>
  <si>
    <t>Environmental / Infrastructure</t>
  </si>
  <si>
    <t>Security and Stability</t>
  </si>
  <si>
    <t>Positive</t>
  </si>
  <si>
    <t>Negative</t>
  </si>
  <si>
    <t>Neutral</t>
  </si>
  <si>
    <t>Pre-Determined</t>
  </si>
  <si>
    <t>Moderate</t>
  </si>
  <si>
    <t>Low</t>
  </si>
  <si>
    <t>Probable</t>
  </si>
  <si>
    <t>#</t>
  </si>
  <si>
    <t>Plausible</t>
  </si>
  <si>
    <t>Possible</t>
  </si>
  <si>
    <t>Pre-Determined Factor</t>
  </si>
  <si>
    <t>Critical Uncertainty</t>
  </si>
  <si>
    <t>Secondary Factor</t>
  </si>
  <si>
    <t>Exogenous Contingency</t>
  </si>
  <si>
    <t>Critical Uncertain</t>
  </si>
  <si>
    <t>+</t>
  </si>
  <si>
    <t>Core</t>
  </si>
  <si>
    <t>Event</t>
  </si>
  <si>
    <t>Period</t>
  </si>
  <si>
    <t>Event Name</t>
  </si>
  <si>
    <t>Specific Indicator to Observe</t>
  </si>
  <si>
    <t>Closeness</t>
  </si>
  <si>
    <t>Degree</t>
  </si>
  <si>
    <t>Organization's Interests</t>
  </si>
  <si>
    <t>Organization's Vision Statement</t>
  </si>
  <si>
    <t>Organization's Mission Statement</t>
  </si>
  <si>
    <t>Organization's Core Values</t>
  </si>
  <si>
    <t>Organization's Preferences</t>
  </si>
  <si>
    <t>Capability Name</t>
  </si>
  <si>
    <t>Action</t>
  </si>
  <si>
    <t>Definition</t>
  </si>
  <si>
    <t>Unit of Measure</t>
  </si>
  <si>
    <t>Total</t>
  </si>
  <si>
    <t>Time</t>
  </si>
  <si>
    <t>Phase</t>
  </si>
  <si>
    <t>Organization's Action</t>
  </si>
  <si>
    <t>Decision Points</t>
  </si>
  <si>
    <t>Means</t>
  </si>
  <si>
    <t>Advantage and Disadvantages</t>
  </si>
  <si>
    <t>Information Gaps and Assumptions Made</t>
  </si>
  <si>
    <t>Chapter</t>
  </si>
  <si>
    <t>Step</t>
  </si>
  <si>
    <t>Introduction</t>
  </si>
  <si>
    <t>Operational Area Analysis</t>
  </si>
  <si>
    <t>Capability-Based Assessment (CBA)</t>
  </si>
  <si>
    <t>Environmental Framing</t>
  </si>
  <si>
    <t>Strategic Approach</t>
  </si>
  <si>
    <t>Preface</t>
  </si>
  <si>
    <t>Strategic Thinking</t>
  </si>
  <si>
    <t>Participation</t>
  </si>
  <si>
    <t>Section</t>
  </si>
  <si>
    <t>Future Modeling</t>
  </si>
  <si>
    <t>Assesment</t>
  </si>
  <si>
    <t>Conclusion</t>
  </si>
  <si>
    <t>Title</t>
  </si>
  <si>
    <t>Section (Step)</t>
  </si>
  <si>
    <t>Analyze Guidance</t>
  </si>
  <si>
    <t>Identify Facts and Assumptions</t>
  </si>
  <si>
    <t>Develop Initial Information Requirements</t>
  </si>
  <si>
    <t>Strategic Environment Analysis</t>
  </si>
  <si>
    <t>Update Information Requirements</t>
  </si>
  <si>
    <t>Develop the Methodology</t>
  </si>
  <si>
    <t>Select Trends</t>
  </si>
  <si>
    <t>Build Futures</t>
  </si>
  <si>
    <t>Evaluate and Monitor</t>
  </si>
  <si>
    <t>Assess Network Structure</t>
  </si>
  <si>
    <t>Identify Strategic Goals</t>
  </si>
  <si>
    <t>Frame the Problem</t>
  </si>
  <si>
    <t>Develop Intent</t>
  </si>
  <si>
    <t>Develop Objectives</t>
  </si>
  <si>
    <t>Align Ognizational Features</t>
  </si>
  <si>
    <t>Identify Risk</t>
  </si>
  <si>
    <t>Decide and Implement</t>
  </si>
  <si>
    <t>Current State</t>
  </si>
  <si>
    <t>Objectives</t>
  </si>
  <si>
    <t>Task Analysis</t>
  </si>
  <si>
    <t>The main focus area in a particular time-horizon that needs to be addressed during strategy development.</t>
  </si>
  <si>
    <t>Strategic Issue Statement</t>
  </si>
  <si>
    <t>Conduct SWOT Assessment</t>
  </si>
  <si>
    <t>Draft Endstate</t>
  </si>
  <si>
    <t>Create Strategic Goals</t>
  </si>
  <si>
    <t>Identify Key Results and KPIs</t>
  </si>
  <si>
    <t>Accept Risk</t>
  </si>
  <si>
    <t>Identify Key Activities</t>
  </si>
  <si>
    <t>Screening Matrix</t>
  </si>
  <si>
    <t>Benchmark</t>
  </si>
  <si>
    <t>Actual</t>
  </si>
  <si>
    <t>Simulate CONOP</t>
  </si>
  <si>
    <t>CONOP Development</t>
  </si>
  <si>
    <t>Means &amp; Risk Management (MRM)</t>
  </si>
  <si>
    <t>Plan and Target</t>
  </si>
  <si>
    <t>Monitor and Collect</t>
  </si>
  <si>
    <t>Process and Report</t>
  </si>
  <si>
    <t>Evaluate and Recommend</t>
  </si>
  <si>
    <t>Decide and Act</t>
  </si>
  <si>
    <t>Type</t>
  </si>
  <si>
    <t>I</t>
  </si>
  <si>
    <t>T</t>
  </si>
  <si>
    <t>Combination</t>
  </si>
  <si>
    <t>Name</t>
  </si>
  <si>
    <t>SDP Participation</t>
  </si>
  <si>
    <t>Modified Driver Correlation Grid</t>
  </si>
  <si>
    <t>Projection of Alternative Futures Diagram</t>
  </si>
  <si>
    <t>Futures Table</t>
  </si>
  <si>
    <t>Network Analysis Diagram</t>
  </si>
  <si>
    <t>OA Analysis Table</t>
  </si>
  <si>
    <t>CBA Table</t>
  </si>
  <si>
    <t>Competitive Advantage and Core Competency Comparison</t>
  </si>
  <si>
    <t>SWOT-COG Analysis Table</t>
  </si>
  <si>
    <t>Strategy Table</t>
  </si>
  <si>
    <t>Stakeholder Table</t>
  </si>
  <si>
    <t>Decision Support Table</t>
  </si>
  <si>
    <t>Sync Matrix</t>
  </si>
  <si>
    <t>Risk Analysis Matrix</t>
  </si>
  <si>
    <t>Risk Register</t>
  </si>
  <si>
    <t>Strategy Design Logic</t>
  </si>
  <si>
    <t>Inputs and Outputs of Analyzing Guidance</t>
  </si>
  <si>
    <t>Task Analysis Table</t>
  </si>
  <si>
    <t>Broad versus Deep Scanning</t>
  </si>
  <si>
    <t>Certainty/Impact Matrix</t>
  </si>
  <si>
    <t>Stakeholder Matrix</t>
  </si>
  <si>
    <t>Operational</t>
  </si>
  <si>
    <t>Risk Description</t>
  </si>
  <si>
    <t>Probability</t>
  </si>
  <si>
    <t>Initial Risk Level</t>
  </si>
  <si>
    <t>Implementation</t>
  </si>
  <si>
    <t>Risk Category</t>
  </si>
  <si>
    <t>Risk Type</t>
  </si>
  <si>
    <t>Objective(s) Impacted</t>
  </si>
  <si>
    <t>Risk Short Name</t>
  </si>
  <si>
    <t>Source (Cause)</t>
  </si>
  <si>
    <t>Mechanism (effect)</t>
  </si>
  <si>
    <t>Outcome (undesired event)</t>
  </si>
  <si>
    <t>Determine Initial Risk</t>
  </si>
  <si>
    <t>Identify Source</t>
  </si>
  <si>
    <t>Mitigate Risk</t>
  </si>
  <si>
    <t>ETL</t>
  </si>
  <si>
    <t>Category</t>
  </si>
  <si>
    <t>Item</t>
  </si>
  <si>
    <t>Description</t>
  </si>
  <si>
    <t>Origination (Source) of Item</t>
  </si>
  <si>
    <t>Statement</t>
  </si>
  <si>
    <t>Assumption</t>
  </si>
  <si>
    <t>Label</t>
  </si>
  <si>
    <t>Date Added</t>
  </si>
  <si>
    <t>Date Updated</t>
  </si>
  <si>
    <t>Date Due</t>
  </si>
  <si>
    <t>Prioritization</t>
  </si>
  <si>
    <t>PIR</t>
  </si>
  <si>
    <t>MOE</t>
  </si>
  <si>
    <t>KPI</t>
  </si>
  <si>
    <t>MOP</t>
  </si>
  <si>
    <t>OIR</t>
  </si>
  <si>
    <t>EIR</t>
  </si>
  <si>
    <t>EEFI</t>
  </si>
  <si>
    <t>IR Category</t>
  </si>
  <si>
    <t>Medium</t>
  </si>
  <si>
    <t>IR Answer</t>
  </si>
  <si>
    <t>IR Question</t>
  </si>
  <si>
    <t>Yes</t>
  </si>
  <si>
    <t>Forces</t>
  </si>
  <si>
    <t>Maco-Environmental Forces</t>
  </si>
  <si>
    <t>Variable Short Name</t>
  </si>
  <si>
    <t>Variable Definition</t>
  </si>
  <si>
    <t>Current State Description</t>
  </si>
  <si>
    <t>Affect on OA</t>
  </si>
  <si>
    <t>Affect on Org</t>
  </si>
  <si>
    <t>Driver Short Name</t>
  </si>
  <si>
    <t>Impact on OA and Org</t>
  </si>
  <si>
    <t>Could continue to occur but is unlikely</t>
  </si>
  <si>
    <t>Continuation is supported by some evidence that it could realistically occur.</t>
  </si>
  <si>
    <t>Continuation is likely to occur although it is still uncertain.</t>
  </si>
  <si>
    <t>Continuation is so certain it is predictable.</t>
  </si>
  <si>
    <t>Impact</t>
  </si>
  <si>
    <t>Nature</t>
  </si>
  <si>
    <t>Driver’s continuation possesses only limited impact on the OA, the strategic issue, and organization.</t>
  </si>
  <si>
    <t>Driver’s continuation is conditionally acceptable, but still could considerably affect the OA, the strategic issue, and organization.</t>
  </si>
  <si>
    <t>Driver’s continuation creates a critical change to the OA, the strategic issue, and organization.</t>
  </si>
  <si>
    <t>Driver Classifcation</t>
  </si>
  <si>
    <t>Key Driver</t>
  </si>
  <si>
    <t>No</t>
  </si>
  <si>
    <t xml:space="preserve">Relatively predictable and comparatively impactful driver(s) in the environment. </t>
  </si>
  <si>
    <t>Drivers that are very unlikely or have moderate to low impacts, or the combination of the two.</t>
  </si>
  <si>
    <t>Unpredictable driver that is impactful on the environment</t>
  </si>
  <si>
    <t>Drivers that are possible, but improbable, and have a significant impact in the environment.</t>
  </si>
  <si>
    <t>Trend Name</t>
  </si>
  <si>
    <t>Time Frame</t>
  </si>
  <si>
    <t>Reach</t>
  </si>
  <si>
    <t>Likelihood</t>
  </si>
  <si>
    <t>Trend Type</t>
  </si>
  <si>
    <t>Trend Classifcation</t>
  </si>
  <si>
    <t xml:space="preserve">Cluster of relatively predictable and comparatively impactful drivers identified in the environment. </t>
  </si>
  <si>
    <t xml:space="preserve">Cluster of related and correlated drivers that are unpredictable and impactful on the environment.  </t>
  </si>
  <si>
    <t>1.2.</t>
  </si>
  <si>
    <t>1.3.</t>
  </si>
  <si>
    <t>CS</t>
  </si>
  <si>
    <t>3.2.</t>
  </si>
  <si>
    <t>3.3.</t>
  </si>
  <si>
    <t>3.4.</t>
  </si>
  <si>
    <t>3.5.</t>
  </si>
  <si>
    <t>Future Descriptive Title</t>
  </si>
  <si>
    <t>Future Type</t>
  </si>
  <si>
    <t>Threat to Organization</t>
  </si>
  <si>
    <t>Opportunity for Organization</t>
  </si>
  <si>
    <t>Driver Name</t>
  </si>
  <si>
    <t>Period Snapshot and Impact on Future Conditions</t>
  </si>
  <si>
    <t>Alternative</t>
  </si>
  <si>
    <t>Future Types</t>
  </si>
  <si>
    <t>Descriptions</t>
  </si>
  <si>
    <t xml:space="preserve">The stable baseline environment projected from predetermined trends that results in a robust and likely future regardless of actions. </t>
  </si>
  <si>
    <t>A probable future is an extension of current reality hereafter that is likely to occur and is planned for.</t>
  </si>
  <si>
    <t>A valid future supported by some evidence that could realistically happen and is worth considering to plan for usually based on exogenous contingencies, defined as unforeseen events or circumstances created from or related to an external factor.</t>
  </si>
  <si>
    <t>Create the Future State</t>
  </si>
  <si>
    <t>Strategic Signposts Name</t>
  </si>
  <si>
    <t>Actor Name</t>
  </si>
  <si>
    <t>Key Actor</t>
  </si>
  <si>
    <t>Interests</t>
  </si>
  <si>
    <t>Operational Signpost</t>
  </si>
  <si>
    <t>Most Dangerous COA</t>
  </si>
  <si>
    <t>Competitive Forces</t>
  </si>
  <si>
    <t>High</t>
  </si>
  <si>
    <t>Friendly</t>
  </si>
  <si>
    <t>Partner</t>
  </si>
  <si>
    <t>Adversary</t>
  </si>
  <si>
    <t>Disposition</t>
  </si>
  <si>
    <t>Rival</t>
  </si>
  <si>
    <t>Patron</t>
  </si>
  <si>
    <t>Beneficiary</t>
  </si>
  <si>
    <t>Classification</t>
  </si>
  <si>
    <t>Opportunities and Threats</t>
  </si>
  <si>
    <t>Most Likely COA</t>
  </si>
  <si>
    <t>Tensions</t>
  </si>
  <si>
    <t>Desired Endstate</t>
  </si>
  <si>
    <t>Preferred Future</t>
  </si>
  <si>
    <t>Critical Capabilities</t>
  </si>
  <si>
    <t>Critical Vulnerabilities</t>
  </si>
  <si>
    <t>Tendencies</t>
  </si>
  <si>
    <t>5.5.</t>
  </si>
  <si>
    <t>Status</t>
  </si>
  <si>
    <t>Available - Not Requirement</t>
  </si>
  <si>
    <t>Available - Requirement</t>
  </si>
  <si>
    <t>Unavailable - Requirement</t>
  </si>
  <si>
    <t>Capability Description</t>
  </si>
  <si>
    <t>Research</t>
  </si>
  <si>
    <t>Development</t>
  </si>
  <si>
    <t>IOC</t>
  </si>
  <si>
    <t>FOC</t>
  </si>
  <si>
    <t>Production Stage</t>
  </si>
  <si>
    <t>FOC Expected Date</t>
  </si>
  <si>
    <t>IOC Expected Date</t>
  </si>
  <si>
    <t>Advantage</t>
  </si>
  <si>
    <t>Competitive Advantage</t>
  </si>
  <si>
    <t>Not Applicable</t>
  </si>
  <si>
    <t>Key Performance Parameters (KPP)</t>
  </si>
  <si>
    <t>Key Performance Attributes (KPAs)</t>
  </si>
  <si>
    <t>Gap</t>
  </si>
  <si>
    <t>Redundant</t>
  </si>
  <si>
    <t>Technological Obsolent</t>
  </si>
  <si>
    <t>End-of-Life</t>
  </si>
  <si>
    <t>Capability Analysis</t>
  </si>
  <si>
    <t>Inability to currently meet or exceed a capability requirement resulting in an associated strategic risk until closed or mitigated.</t>
  </si>
  <si>
    <t>More than one ability that provides similar effects, resulting in excess capability.</t>
  </si>
  <si>
    <t>When a capability is no longer needed or wanted even though it is still in working order.</t>
  </si>
  <si>
    <t>When a capability is deemed to have reached the end of its useful life.</t>
  </si>
  <si>
    <t>Lack of Proficiency</t>
  </si>
  <si>
    <t>Lack of Sufficiency</t>
  </si>
  <si>
    <t>Lack of Field Capability</t>
  </si>
  <si>
    <t>Policy Limitations</t>
  </si>
  <si>
    <t>Capability Characterization</t>
  </si>
  <si>
    <t>Gap Characterization</t>
  </si>
  <si>
    <t>5.3.</t>
  </si>
  <si>
    <t>Decription</t>
  </si>
  <si>
    <t>Unacceptable risk for the successful achievement of the objective(s). It is an urgent requirement.</t>
  </si>
  <si>
    <t>Conditionally acceptable but significantly affects the achievement of the objective(s).It is a high-priority requirement.</t>
  </si>
  <si>
    <t>Acceptable as it has only limited impact on achieving the objective(s). It is a low-priority requirement.</t>
  </si>
  <si>
    <t>CRA-1</t>
  </si>
  <si>
    <t>CRA-2</t>
  </si>
  <si>
    <t>CRA-3</t>
  </si>
  <si>
    <t>Material</t>
  </si>
  <si>
    <t>Non-Material</t>
  </si>
  <si>
    <t>Solution</t>
  </si>
  <si>
    <t>Changes implemented to an existing ability to satisfy one or more requirements</t>
  </si>
  <si>
    <t>Development or procurement of a new tool to provide an ability to satisfy one or more requirements</t>
  </si>
  <si>
    <t>Capability Solution</t>
  </si>
  <si>
    <t>5.4.</t>
  </si>
  <si>
    <t>Estimated Cost</t>
  </si>
  <si>
    <t>Solution Description (DOTMIL-PF)</t>
  </si>
  <si>
    <t>Add to IPL</t>
  </si>
  <si>
    <t>Prioritization #</t>
  </si>
  <si>
    <t>CRA</t>
  </si>
  <si>
    <t>Opportunity</t>
  </si>
  <si>
    <t>condition or circumstance created by an actor or force(s) often coming from the external, strategic environment that may harm something valued.</t>
  </si>
  <si>
    <t>Condition or circumstance created by an actor or force(s) often coming from the external, strategic environment that may help attain something valued</t>
  </si>
  <si>
    <t>Total Score</t>
  </si>
  <si>
    <t>Value, Impact, &amp; Power</t>
  </si>
  <si>
    <t>Value / Impact</t>
  </si>
  <si>
    <t>Power / Probability</t>
  </si>
  <si>
    <t>Characteristic or attribute, either tangible or intangible, internal to the organization that it performs poorly compared to others which may hinder attaining something of valued.</t>
  </si>
  <si>
    <t>COG Desciption:</t>
  </si>
  <si>
    <t>Shaping</t>
  </si>
  <si>
    <t>Hedging</t>
  </si>
  <si>
    <t>Statements</t>
  </si>
  <si>
    <t>Problem Statement</t>
  </si>
  <si>
    <t>Intent Statement</t>
  </si>
  <si>
    <t>6.3.</t>
  </si>
  <si>
    <t>7.1.</t>
  </si>
  <si>
    <t>7.2.</t>
  </si>
  <si>
    <t>Main</t>
  </si>
  <si>
    <t>Indicator Type</t>
  </si>
  <si>
    <t>Basic</t>
  </si>
  <si>
    <t>Supporting</t>
  </si>
  <si>
    <t>Target Description</t>
  </si>
  <si>
    <t>Action to Target</t>
  </si>
  <si>
    <t>Feature</t>
  </si>
  <si>
    <t>Stakeholder</t>
  </si>
  <si>
    <t>Placement</t>
  </si>
  <si>
    <t>Internal</t>
  </si>
  <si>
    <t>External</t>
  </si>
  <si>
    <t>Influence</t>
  </si>
  <si>
    <t>Interest</t>
  </si>
  <si>
    <t>Inform just enough to keep satisfied, but not so much to become bored.</t>
  </si>
  <si>
    <t>Engage to keep informed and ensure no major issues arise.</t>
  </si>
  <si>
    <t>Monitor, but do not bore with excessive communication.</t>
  </si>
  <si>
    <t>Monitor</t>
  </si>
  <si>
    <t>Quadrant</t>
  </si>
  <si>
    <t xml:space="preserve">Closely manage and fully engage to ensure satisfied. </t>
  </si>
  <si>
    <t>Manage Closely</t>
  </si>
  <si>
    <t>Keep Satisified</t>
  </si>
  <si>
    <t>Keep Informed</t>
  </si>
  <si>
    <t>Element</t>
  </si>
  <si>
    <t>Pause</t>
  </si>
  <si>
    <t>Decision Point</t>
  </si>
  <si>
    <t>Branch</t>
  </si>
  <si>
    <t>Sequel</t>
  </si>
  <si>
    <t>Critical Event</t>
  </si>
  <si>
    <t>Other</t>
  </si>
  <si>
    <t>Start</t>
  </si>
  <si>
    <t>End</t>
  </si>
  <si>
    <t>Definitive or natural stage in the strategy during which a large portion of the organization’s means are involved in similar or mutually supporting activities for a common purpose.</t>
  </si>
  <si>
    <t>Temporary halt in activities or actions during the strategy.</t>
  </si>
  <si>
    <t>A place in space or time that, when acted upon, creates one or more favorable conditions greatly influencing the achievement of the desired endstate.</t>
  </si>
  <si>
    <t>Alternative actions often built into the basic plan that adds flexibility by anticipating changes to the situation.</t>
  </si>
  <si>
    <t>Anticipated plans for subsequent actions based on the possible outcomes of the current activities</t>
  </si>
  <si>
    <t>Occurrences that affect the strategy by triggering significant actions or complicated decisions that require detailed study, time, resourcing, or preparation.</t>
  </si>
  <si>
    <t>Environments Re-Action</t>
  </si>
  <si>
    <t>Organization's Counter-Action</t>
  </si>
  <si>
    <t>Screening Criteria</t>
  </si>
  <si>
    <t>Suitable</t>
  </si>
  <si>
    <t>Feasible</t>
  </si>
  <si>
    <t>Acceptable</t>
  </si>
  <si>
    <t>Criterion Short Title</t>
  </si>
  <si>
    <t>Screened-in</t>
  </si>
  <si>
    <t>Weight</t>
  </si>
  <si>
    <t>COAs</t>
  </si>
  <si>
    <t>Risk Acceptance</t>
  </si>
  <si>
    <t>Risk Levels</t>
  </si>
  <si>
    <t>Low (L)</t>
  </si>
  <si>
    <t>Medium (M)</t>
  </si>
  <si>
    <t>High (H)</t>
  </si>
  <si>
    <t>Extremely High (EH)</t>
  </si>
  <si>
    <t>Consequence</t>
  </si>
  <si>
    <t>Event’s consequences are expected to include minimal loss or damage to capabilities; little impact on objectives that have no impact on overall CONOP; and no impact on the organization’s viability.</t>
  </si>
  <si>
    <t>Event’s consequences are expected to include minor loss or damage of capabilities; some impact on objectives that minimally degrades the CONOP; or short-term impact on the organization’s viability.</t>
  </si>
  <si>
    <t>Event’s consequences are expected to include some loss or damage of capabilities; major impact on objectives that significantly degrades the CONOP; or short to medium-term impact on the organization’s viability.</t>
  </si>
  <si>
    <t>Event’s consequences are expected to include total loss or major damage to critical capabilities; major impact on objectives that lead to failure of CONOP; or medium to long-term impact on the organization’s viability.</t>
  </si>
  <si>
    <t>Critical</t>
  </si>
  <si>
    <t>Catastrophic</t>
  </si>
  <si>
    <t>Very Unlikely</t>
  </si>
  <si>
    <t>Seldom</t>
  </si>
  <si>
    <t>Frequent</t>
  </si>
  <si>
    <t>An occurrence is expected to happen continuously, regularly, or inevitably.</t>
  </si>
  <si>
    <t>An occurrence resulting from exposure is possible but improbable.</t>
  </si>
  <si>
    <t xml:space="preserve">An occurrence resulting from exposure is infrequent or remotely possible. </t>
  </si>
  <si>
    <t xml:space="preserve">An occurrence is sporadic and intermittent. </t>
  </si>
  <si>
    <t xml:space="preserve">An occurrence is expected to happen or has happened numerous or several times.   </t>
  </si>
  <si>
    <t>Hazard</t>
  </si>
  <si>
    <t>A potential non-malicious condition, either man-made or natural, that may harm something valued.</t>
  </si>
  <si>
    <t>Condition or circumstance created by an actor or force(s) often coming from the external, strategic environment that may harm something valued.</t>
  </si>
  <si>
    <t>Enterprise</t>
  </si>
  <si>
    <t>Systemic</t>
  </si>
  <si>
    <t xml:space="preserve">Potential losses associated with the organization’s ability to successfully execute its mission within acceptable costs, which may impact the strategy. </t>
  </si>
  <si>
    <t xml:space="preserve">Potential losses associated with the organization’s administration that have broader risks to the mission and strategy. </t>
  </si>
  <si>
    <t>Potential losses associated with a combination of environmental factors that will affect most, if not all, similar actors within it and which they might only be to mitigate versus avoid.</t>
  </si>
  <si>
    <t>Expecting some loss or damage of capabilities; major impact on objectives that significantly degrades the CONOP; or short to medium-term impact on the organization’s viability.</t>
  </si>
  <si>
    <t>Expecting minor loss or damage of capabilities; some impact on objectives that minimally degrades the CONOP; or short-term impact on the organization’s viability.</t>
  </si>
  <si>
    <t>Expecting loss or damage to capabilities; little impact on objectives that have no impact on overall CONOP; and no impact on the organization’s viability.</t>
  </si>
  <si>
    <t>Expecting total loss or major damage to critical capabilities; major impact on objectives that lead to failure of CONOP; or medium to long-term impact on the organization’s viability.</t>
  </si>
  <si>
    <t>Indictor Short Name</t>
  </si>
  <si>
    <t>Indicator Description</t>
  </si>
  <si>
    <t xml:space="preserve">Indicator of an attribute that is continuously measured against an established baseline considered essential to an organization’s mission. </t>
  </si>
  <si>
    <t>Indicator of quantifiable progress in creating or improvising something to measures desired short-term outcomes (0-2 years) that support ≥1 objectives.</t>
  </si>
  <si>
    <t>Indicator that measures the degree of work toward accomplishing a key activity over time.</t>
  </si>
  <si>
    <t>Indicator of change in conditions within the environment since a previous time.</t>
  </si>
  <si>
    <t>Assessment Table</t>
  </si>
  <si>
    <t>Location</t>
  </si>
  <si>
    <t># of Employees</t>
  </si>
  <si>
    <t>Company Type</t>
  </si>
  <si>
    <t>Annual Sales</t>
  </si>
  <si>
    <t>Opportunities</t>
  </si>
  <si>
    <t>Threats</t>
  </si>
  <si>
    <t>OA Analysis</t>
  </si>
  <si>
    <t>Business Type</t>
  </si>
  <si>
    <t>NAICS Code</t>
  </si>
  <si>
    <t>NAICS Code Website</t>
  </si>
  <si>
    <t>NAICS Description</t>
  </si>
  <si>
    <t>WARNO Statement</t>
  </si>
  <si>
    <t>Essential</t>
  </si>
  <si>
    <t>Task</t>
  </si>
  <si>
    <t>Affect on SE</t>
  </si>
  <si>
    <t>Direction it will Push SE</t>
  </si>
  <si>
    <t>Driver Classification</t>
  </si>
  <si>
    <t>Driver Correlations</t>
  </si>
  <si>
    <t>Count</t>
  </si>
  <si>
    <t>Assessment Total</t>
  </si>
  <si>
    <t>Action to Take</t>
  </si>
  <si>
    <t>Act Now</t>
  </si>
  <si>
    <t>Manage</t>
  </si>
  <si>
    <t>Watch</t>
  </si>
  <si>
    <t>OA Impact</t>
  </si>
  <si>
    <t>Var. #</t>
  </si>
  <si>
    <t>Driv #</t>
  </si>
  <si>
    <t>Points</t>
  </si>
  <si>
    <t>Time-Frame</t>
  </si>
  <si>
    <t>10+ Years</t>
  </si>
  <si>
    <t>6-9 Years</t>
  </si>
  <si>
    <t>3-5 Years</t>
  </si>
  <si>
    <t>0-2 Years</t>
  </si>
  <si>
    <t>Never</t>
  </si>
  <si>
    <t>Individual</t>
  </si>
  <si>
    <t>Organization</t>
  </si>
  <si>
    <t>OA</t>
  </si>
  <si>
    <t>OE</t>
  </si>
  <si>
    <t>None</t>
  </si>
  <si>
    <t>When will trend begin to have impact?</t>
  </si>
  <si>
    <t>What is likely future proliferation of this trend?</t>
  </si>
  <si>
    <t>What is likely future impact of this trend?</t>
  </si>
  <si>
    <t>What is the probability of the trend impacting the organization?</t>
  </si>
  <si>
    <t>Exogenous contingency</t>
  </si>
  <si>
    <t>Unforeseen events or circumstances created from or related to an external factor</t>
  </si>
  <si>
    <t>1.1.</t>
  </si>
  <si>
    <t>Fact</t>
  </si>
  <si>
    <t>Opinion</t>
  </si>
  <si>
    <t>Background</t>
  </si>
  <si>
    <t>PLANORD Statement</t>
  </si>
  <si>
    <t>Current State Table</t>
  </si>
  <si>
    <t>PESTLES Analysis Table</t>
  </si>
  <si>
    <t>Assess the Drivers</t>
  </si>
  <si>
    <t>Identify Key Drivers</t>
  </si>
  <si>
    <t>Impact on the Organization</t>
  </si>
  <si>
    <t>Driver Table</t>
  </si>
  <si>
    <t>Affect on the Operational Area (OA)</t>
  </si>
  <si>
    <t>Narrative</t>
  </si>
  <si>
    <t>Analyze the Current State</t>
  </si>
  <si>
    <t>Impact on SE</t>
  </si>
  <si>
    <t>Potential Organizational Influence on Driver</t>
  </si>
  <si>
    <t>Aegis Armorworks</t>
  </si>
  <si>
    <t>Market share expansion</t>
  </si>
  <si>
    <t>Product overlap</t>
  </si>
  <si>
    <t>Cutting-edge designs</t>
  </si>
  <si>
    <t>High R&amp;D expenses</t>
  </si>
  <si>
    <t>Expand market presence.</t>
  </si>
  <si>
    <t>Ambitious growth</t>
  </si>
  <si>
    <t>Launch new product lines.</t>
  </si>
  <si>
    <t>Poach Sentinel's clients.</t>
  </si>
  <si>
    <t>Opportunity: Expand reach; Threat: Client poaching</t>
  </si>
  <si>
    <t>Product launches</t>
  </si>
  <si>
    <t>BattleForge Industries</t>
  </si>
  <si>
    <t>Access to innovation</t>
  </si>
  <si>
    <t>Innovative designs</t>
  </si>
  <si>
    <t>Small workforce</t>
  </si>
  <si>
    <t>Secure niche market dominance.</t>
  </si>
  <si>
    <t>Opportunistic</t>
  </si>
  <si>
    <t>Focus on niche markets.</t>
  </si>
  <si>
    <t>Sabotage competitor projects.</t>
  </si>
  <si>
    <t>Adopt innovations, risk of losing niche.</t>
  </si>
  <si>
    <t>Bulwark Manufacturing</t>
  </si>
  <si>
    <t>Industry growth</t>
  </si>
  <si>
    <t>Minimal</t>
  </si>
  <si>
    <t>Efficient production</t>
  </si>
  <si>
    <t>Economic downturns</t>
  </si>
  <si>
    <t>Promote sector growth.</t>
  </si>
  <si>
    <t>Growth-oriented</t>
  </si>
  <si>
    <t>Expand production capacity.</t>
  </si>
  <si>
    <t>Flood the market with low-cost products.</t>
  </si>
  <si>
    <t>Opportunity: Scale up; Threat: Economic risks</t>
  </si>
  <si>
    <t>Factory expansions</t>
  </si>
  <si>
    <t>Fortress Dynamics</t>
  </si>
  <si>
    <t>Supply chain stability</t>
  </si>
  <si>
    <t>Reliable suppliers</t>
  </si>
  <si>
    <t>Supplier risks</t>
  </si>
  <si>
    <t>Ensure steady operations.</t>
  </si>
  <si>
    <t>Risk-averse</t>
  </si>
  <si>
    <t>Strengthen supplier relationships.</t>
  </si>
  <si>
    <t>Disrupt supply chains.</t>
  </si>
  <si>
    <t>Opportunity: Secure supplies; Threat: Supplier issues</t>
  </si>
  <si>
    <t>Supplier agreements</t>
  </si>
  <si>
    <t>Ironclad Dynamics</t>
  </si>
  <si>
    <t>Market dominance</t>
  </si>
  <si>
    <t>Pricing wars</t>
  </si>
  <si>
    <t>Advanced manufacturing</t>
  </si>
  <si>
    <t>High costs</t>
  </si>
  <si>
    <t>Maintain leadership in the industry.</t>
  </si>
  <si>
    <t>Aggressive expansion</t>
  </si>
  <si>
    <t>Increase production capacity.</t>
  </si>
  <si>
    <t>Undercut pricing aggressively.</t>
  </si>
  <si>
    <t>Expand market share, risk of price wars.</t>
  </si>
  <si>
    <t>Ironclad Systems</t>
  </si>
  <si>
    <t>Technological advancement</t>
  </si>
  <si>
    <t>Strong funding</t>
  </si>
  <si>
    <t>Dependence on funding</t>
  </si>
  <si>
    <t>Support industry innovation.</t>
  </si>
  <si>
    <t>Supportive of innovation</t>
  </si>
  <si>
    <t>Invest in startups to foster innovation.</t>
  </si>
  <si>
    <t>Withdraw funding from key projects.</t>
  </si>
  <si>
    <t>Opportunity: Foster new tech; Threat: Loss of funding</t>
  </si>
  <si>
    <t>New funding announcements</t>
  </si>
  <si>
    <t>ShieldTech Systems</t>
  </si>
  <si>
    <t>Market share growth</t>
  </si>
  <si>
    <t>Patent disputes</t>
  </si>
  <si>
    <t>Global distribution</t>
  </si>
  <si>
    <t>Regulatory issues</t>
  </si>
  <si>
    <t>Expand market presence globally.</t>
  </si>
  <si>
    <t>Market-focused</t>
  </si>
  <si>
    <t>Expand into emerging markets.</t>
  </si>
  <si>
    <t>File lawsuits over patents.</t>
  </si>
  <si>
    <t>Gain market insights, risk of legal battles.</t>
  </si>
  <si>
    <t>Steel Fortress Inc.</t>
  </si>
  <si>
    <t>Stable supply chain</t>
  </si>
  <si>
    <t>Financial backing</t>
  </si>
  <si>
    <t>Dependence on suppliers</t>
  </si>
  <si>
    <t>Ensure steady growth and stability.</t>
  </si>
  <si>
    <t>Withdraw support suddenly.</t>
  </si>
  <si>
    <t>Secure supply chain, risk of dependency.</t>
  </si>
  <si>
    <t>Titan Defense Corp</t>
  </si>
  <si>
    <t>Advanced R&amp;D</t>
  </si>
  <si>
    <t>Maintain leadership in the market.</t>
  </si>
  <si>
    <t>Aggressive competition</t>
  </si>
  <si>
    <t>Increase R&amp;D spending to outpace competitors.</t>
  </si>
  <si>
    <t>Undercut Sentinel's pricing aggressively.</t>
  </si>
  <si>
    <t>Opportunity: Lead in innovation; Threat: Price wars</t>
  </si>
  <si>
    <t>Increased R&amp;D budgets</t>
  </si>
  <si>
    <t>Titanium Armor Works</t>
  </si>
  <si>
    <t>Technological advancements</t>
  </si>
  <si>
    <t>R&amp;D expertise</t>
  </si>
  <si>
    <t>Limited market reach</t>
  </si>
  <si>
    <t>Achieve recognition for innovation.</t>
  </si>
  <si>
    <t>Innovation-driven</t>
  </si>
  <si>
    <t>Invest in R&amp;D.</t>
  </si>
  <si>
    <t>Leak sensitive innovations.</t>
  </si>
  <si>
    <t>Collaborate on R&amp;D, risk of IP theft.</t>
  </si>
  <si>
    <t>Vanguard Vehicles</t>
  </si>
  <si>
    <t>Strategic partnerships</t>
  </si>
  <si>
    <t>Government backing</t>
  </si>
  <si>
    <t>Political shifts</t>
  </si>
  <si>
    <t>Foster strong alliances.</t>
  </si>
  <si>
    <t>Collaborative</t>
  </si>
  <si>
    <t>Form new alliances.</t>
  </si>
  <si>
    <t>Sabotage partnerships.</t>
  </si>
  <si>
    <t>Opportunity: Build alliances; Threat: Partnership failures</t>
  </si>
  <si>
    <t>Alliance formations</t>
  </si>
  <si>
    <t>Core Competency</t>
  </si>
  <si>
    <t>NA</t>
  </si>
  <si>
    <t>Target Date</t>
  </si>
  <si>
    <t>Occasional</t>
  </si>
  <si>
    <t>Strategic Goal, 6.4.</t>
  </si>
  <si>
    <t>Measure of Effectiveness (MOE), 6.5.</t>
  </si>
  <si>
    <t>Objectives, 7.3.</t>
  </si>
  <si>
    <t>Measures of Performance (MOP), 8.2.</t>
  </si>
  <si>
    <t>Strategic Goals</t>
  </si>
  <si>
    <t>ank</t>
  </si>
  <si>
    <t>Characteristic or attribute, either tangible or intangible, internal to the organization that it performs well compared to others and which may help provide something Valued.</t>
  </si>
  <si>
    <t>Programmed</t>
  </si>
  <si>
    <t>Unprogrammed</t>
  </si>
  <si>
    <t>Drv #</t>
  </si>
  <si>
    <t>Force</t>
  </si>
  <si>
    <t>SE Certainty</t>
  </si>
  <si>
    <t>Motivator</t>
  </si>
  <si>
    <t>Limitation</t>
  </si>
  <si>
    <t>Driver Description</t>
  </si>
  <si>
    <t>Factory Type</t>
  </si>
  <si>
    <t>Factors</t>
  </si>
  <si>
    <t>A</t>
  </si>
  <si>
    <t>B</t>
  </si>
  <si>
    <t>C</t>
  </si>
  <si>
    <t>D</t>
  </si>
  <si>
    <t>E</t>
  </si>
  <si>
    <t>F</t>
  </si>
  <si>
    <t>G</t>
  </si>
  <si>
    <t>Signpost</t>
  </si>
  <si>
    <t>CEO WARNO</t>
  </si>
  <si>
    <t>Armored Military Vehicle Manufacturing</t>
  </si>
  <si>
    <t>Sentinel Vehicle Industries</t>
  </si>
  <si>
    <t>Sentinel Vehicle Industries, a private business in Detroit, Michigan, with 5,142 employees, manufactures military armored vehicles, tanks, and components with annual sales of $2.2 billion.</t>
  </si>
  <si>
    <t>Develop a plan to create a strategy to enter Southeast Asian markets.</t>
  </si>
  <si>
    <t>Greater Asia-Pacific region, which includes: 1) the OA where sales operations are focused; 2) the U.S. due to the task and limitation of abiding by its laws and regulations, including manufacturing and foreign sales, as well as economic conditions; 3) the Asia-Pacific region as whole whose security and stability will drive the need and competition for specific products and services to counter threat.</t>
  </si>
  <si>
    <t>Detroit, Michigan</t>
  </si>
  <si>
    <t>Private</t>
  </si>
  <si>
    <t>Military Armored Vehicle, Tank, and Tank Component Manufacturing</t>
  </si>
  <si>
    <t>https://www.naics.com/naics-code-description/?code=336992&amp;v=2017</t>
  </si>
  <si>
    <t>This U.S. industry comprises establishments primarily engaged in manufacturing complete military armored vehicles, combat tanks, specialized components for combat tanks, and self-propelled weapons.</t>
  </si>
  <si>
    <t>The Chief Executive Officer (CEO) approached a senior staff member to express interest in developing a strategy to offset risk in the United States market due to forecasted steep spending cuts by entering Southeast Asian markets whose defense budgets are increasing due to tension with other potential regional adversaries.</t>
  </si>
  <si>
    <t>Equip the U.S. armed forces and their partners to fight and win wars by designing, developing, and delivering advanced armored vehicles and defense systems with American craftsmanship that provide superior lethality and survivability.</t>
  </si>
  <si>
    <t>Dominate the defense industry and battlefield through American innovation and craftsmanship.</t>
  </si>
  <si>
    <t>⁃ Innovation: Invest in cutting-edge technologies and creative solutions through continuous research, development, and improvement that push industry boundaries and exceed expectations in design, engineering, and manufacturing excellence.
⁃ Safety: Prioritize the protection of end-users and employees through rigorous testing, uncompromising quality control, and a pervasive culture of safety awareness in everything we do and produce.
⁃ Collaboration: Build enduring partnerships and trust with customers, suppliers, and teammates through open communication, inclusive decision-making, attentive listening, and valuing diverse perspectives that drive mutual success.
⁃ Adaptability: Remain agile and responsive to evolving challenges and market demands by embracing change as an opportunity, cultivating workforce resilience, and tailoring solutions to meet specific operational requirements.</t>
  </si>
  <si>
    <t>⁃ Vital Interest: Maintain the trust and confidence of the U.S. Department of Defense as a reliable provider of superior armored vehicle systems that protect American service members and ensure mission success.
⁃ Important Interest: Sustain technological leadership in armored vehicle innovation and manufacturing capabilities that deliver competitive advantage in lethality, survivability, and operational effectiveness across global defense markets.
⁃ Peripheral Interest: Expand market presence into allied and partner nations' defense sectors to diversify revenue streams, reduce dependence on single-market volatility, and strengthen international defense industrial relationships.</t>
  </si>
  <si>
    <t>Impact on OA &amp; Organization</t>
  </si>
  <si>
    <t>U.S. Defense Budget Policy</t>
  </si>
  <si>
    <t>Federal appropriations and spending priorities for Department of Defense procurement programs and contracts.</t>
  </si>
  <si>
    <t>Fiscal Constraint and Deficit Reduction</t>
  </si>
  <si>
    <t>Congressional pressure to reduce federal spending and address national debt through defense budget cuts.</t>
  </si>
  <si>
    <t>Low influence; can lobby through industry associations but cannot directly control fiscal policy or congressional appropriations decisions.</t>
  </si>
  <si>
    <t>U.S. Export Control Regulations</t>
  </si>
  <si>
    <t>ITAR and FMS requirements governing international sales of U.S.-manufactured military equipment and technology.</t>
  </si>
  <si>
    <t>Stringent State Department approval processes require 18-36 months for export licenses; technology transfer restrictions limit partnership flexibility.</t>
  </si>
  <si>
    <t>Shapes global arms trade patterns; advantages nations with streamlined export processes; creates barriers favoring established U.S. allies.</t>
  </si>
  <si>
    <t>Extends market entry timelines; increases administrative costs; limits competitive agility against nations with less restrictive export regimes.</t>
  </si>
  <si>
    <t>Delays Southeast Asian market entry; requires dedicated regulatory compliance resources; restricts partnership models and technology sharing options.</t>
  </si>
  <si>
    <t>Geopolitical Competition and Security Concerns</t>
  </si>
  <si>
    <t>Rising tensions with China increase U.S. scrutiny of technology transfers and foreign military partnerships.</t>
  </si>
  <si>
    <t>Regulations will tighten for sensitive technologies but potentially streamline approvals for trusted allies facing regional threats.</t>
  </si>
  <si>
    <t>Accelerates allied nations' defense procurement from U.S. sources; strengthens security partnerships but creates approval bottlenecks.</t>
  </si>
  <si>
    <t>Creates advantage for manufacturers serving allied nations; increases compliance complexity; may accelerate approvals for Southeast Asian markets.</t>
  </si>
  <si>
    <t>Moderate influence through government relations and demonstrating technology security protocols; cannot change fundamental policy frameworks.</t>
  </si>
  <si>
    <t>Southeast Asian Defense Procurement Policy</t>
  </si>
  <si>
    <t>National policies governing defense acquisition processes, offset requirements, and foreign partnership terms in target markets.</t>
  </si>
  <si>
    <t>Varies by nation; typically requires government-to-government FMS channels, local industrial participation, technology transfer, and offset agreements.</t>
  </si>
  <si>
    <t>Influences regional defense industrial base development; shapes international defense partnerships; affects power balances in contested regions.</t>
  </si>
  <si>
    <t>Determines market accessibility; establishes partnership requirements; creates competitive advantages for manufacturers willing to meet offset obligations.</t>
  </si>
  <si>
    <t>Defines market entry requirements; necessitates local partnerships; requires investment in regional manufacturing capacity or technology sharing arrangements.</t>
  </si>
  <si>
    <t>Regional Security Tensions and Modernization</t>
  </si>
  <si>
    <t>Territorial disputes and perceived threats drive Southeast Asian nations to modernize armed forces rapidly.</t>
  </si>
  <si>
    <t>Procurement budgets will increase; preference for proven U.S. systems will strengthen; offset requirements may ease for urgent capability gaps.</t>
  </si>
  <si>
    <t>Expands defense market opportunities in region; accelerates procurement timelines; increases receptivity to U.S. defense partnerships.</t>
  </si>
  <si>
    <t>Creates growth opportunities for U.S. manufacturers; may reduce entry barriers; increases demand for armored vehicles meeting regional requirements.</t>
  </si>
  <si>
    <t>Moderate influence through partnership proposals, offset program design, and relationship building with defense ministries and procurement agencies.</t>
  </si>
  <si>
    <t>Southeast Asian Economic Growth</t>
  </si>
  <si>
    <t>GDP growth rates and economic capacity to fund defense modernization programs in target market countries.</t>
  </si>
  <si>
    <t>Regional GDP growth averaging 4-6% annually; expanding middle class; increasing government revenues enable sustained defense budget increases of 15-30%.</t>
  </si>
  <si>
    <t>Creates wealth redistribution globally; shifts economic power toward Asia-Pacific region; increases regional capacity for military modernization investments.</t>
  </si>
  <si>
    <t>Expands addressable market size; increases procurement budgets; creates sustained demand for advanced defense systems in region.</t>
  </si>
  <si>
    <t>Presents viable market opportunity aligned with strategic issue; justifies investment in market entry; supports revenue diversification objectives.</t>
  </si>
  <si>
    <t>Regional Economic Development and Industrialization</t>
  </si>
  <si>
    <t>Continued infrastructure investment, manufacturing growth, and trade expansion fuel economic expansion across Southeast Asia.</t>
  </si>
  <si>
    <t>Economic growth will continue at 4-7% annually; defense budgets will grow proportionally; procurement capacity will strengthen.</t>
  </si>
  <si>
    <t>Strengthens regional military capabilities; increases geopolitical influence; amplifies importance of defense partnerships in maintaining regional stability.</t>
  </si>
  <si>
    <t>Sustains long-term market opportunity; increases customer sophistication; may drive demand for technology transfer and local production.</t>
  </si>
  <si>
    <t>Minimal influence; cannot affect macroeconomic trends; can position offerings to align with economic development priorities.</t>
  </si>
  <si>
    <t>Raw Material and Component Costs</t>
  </si>
  <si>
    <t>Prices for steel, aluminum, composite materials, electronics, and manufactured components essential to vehicle production.</t>
  </si>
  <si>
    <t>Steel prices elevated 20% above five-year average; semiconductor shortages persist; supply chain disruptions increase lead times 30-40%.</t>
  </si>
  <si>
    <t>Affects global manufacturing competitiveness; creates inflationary pressures; disrupts defense production schedules worldwide impacting military readiness.</t>
  </si>
  <si>
    <t>Increases production costs industry-wide; squeezes profit margins; forces manufacturers to absorb costs or pass to customers.</t>
  </si>
  <si>
    <t>Pressures profitability on fixed-price contracts; threatens cost competitiveness in Southeast Asian bids; requires strategic sourcing and hedging.</t>
  </si>
  <si>
    <t>Global Supply Chain Volatility</t>
  </si>
  <si>
    <t>Geopolitical tensions, trade policies, and post-pandemic disruptions create persistent material availability and pricing fluctuations.</t>
  </si>
  <si>
    <t>Volatility will persist with periodic spikes; diversification of suppliers will partially mitigate; prices will stabilize above historical averages.</t>
  </si>
  <si>
    <t>Reshapes global manufacturing networks; accelerates onshoring and friendshoring trends; increases focus on supply chain resilience.</t>
  </si>
  <si>
    <t>Elevates importance of supplier relationships; drives vertical integration strategies; increases operational complexity and inventory costs.</t>
  </si>
  <si>
    <t>Moderate influence through supplier diversification, long-term contracts, and material substitution; limited control over global commodity markets.</t>
  </si>
  <si>
    <t>Currency Exchange Rate Fluctuations</t>
  </si>
  <si>
    <t>Variations in dollar exchange rates against Southeast Asian currencies affecting pricing competitiveness and profit repatriation.</t>
  </si>
  <si>
    <t>U.S. dollar strengthening against most Southeast Asian currencies; 5-15% appreciation over past two years impacts export competitiveness.</t>
  </si>
  <si>
    <t>Affects international trade flows; influences foreign investment patterns; impacts purchasing power of nations procuring U.S. defense systems.</t>
  </si>
  <si>
    <t>Makes U.S.-manufactured systems more expensive for foreign buyers; advantages competitors from countries with weaker currencies.</t>
  </si>
  <si>
    <t>Reduces price competitiveness in Southeast Asian markets; complicates pricing strategies; creates revenue uncertainty when repatriating foreign currency.</t>
  </si>
  <si>
    <t>U.S. Monetary Policy and Rates</t>
  </si>
  <si>
    <t>Federal Reserve interest rate policies to manage inflation strengthen dollar relative to emerging market currencies.</t>
  </si>
  <si>
    <t>Dollar will remain strong in near-term; gradual weakening possible as rates stabilize; Southeast Asian currencies may strengthen moderately.</t>
  </si>
  <si>
    <t>Creates affordability challenges for emerging market defense procurement; may slow equipment acquisition timelines or reduce quantities.</t>
  </si>
  <si>
    <t>Pressures U.S. manufacturers to offer financing packages or offset arrangements; may accelerate local partnership and production strategies.</t>
  </si>
  <si>
    <t>No influence; cannot control monetary policy; can mitigate through pricing strategies, local partnerships, and flexible payment terms.</t>
  </si>
  <si>
    <t>Advanced Manufacturing Workforce Availability</t>
  </si>
  <si>
    <t>Supply of skilled workers in engineering, welding, machining, and advanced manufacturing required for armored vehicle production.</t>
  </si>
  <si>
    <t>U.S. manufacturing workforce aging; skills gap widening; competition for talent intensifies; Detroit region maintains industrial workforce base.</t>
  </si>
  <si>
    <t>Global competition for technical talent; developed nations face demographic challenges; emerging markets building technical education infrastructure.</t>
  </si>
  <si>
    <t>Limits production scalability; increases labor costs; drives automation investments; affects quality consistency and delivery timelines.</t>
  </si>
  <si>
    <t>Constrains expansion capacity; increases training investments; threatens ability to fulfill dual-market commitments; impacts competitiveness.</t>
  </si>
  <si>
    <t>Demographic Shifts and Education Gaps</t>
  </si>
  <si>
    <t>Baby boomer retirements accelerate; technical education enrollment declining; manufacturing careers perceived as less desirable by younger generations.</t>
  </si>
  <si>
    <t>Workforce shortages will intensify; wage pressures will increase; automation will accelerate; immigration policies may partially offset.</t>
  </si>
  <si>
    <t>Forces global manufacturers to compete for shrinking talent pool; accelerates offshoring and automation adoption; increases operational costs.</t>
  </si>
  <si>
    <t>Drives recruitment challenges; necessitates enhanced training programs; may require international partnerships for production capacity expansion.</t>
  </si>
  <si>
    <t>Moderate influence through workforce development partnerships, competitive compensation, apprenticeship programs; limited control over demographic trends.</t>
  </si>
  <si>
    <t>Cultural Business Relationship Expectations</t>
  </si>
  <si>
    <t>Regional preferences for relationship-based business practices, face-to-face engagement, and long-term partnership commitments in Southeast Asia.</t>
  </si>
  <si>
    <t>Relationship-Based Commerce and Trust</t>
  </si>
  <si>
    <t>Confucian and collectivist cultural values prioritize interpersonal trust and long-term mutual benefit over contract-focused transactions.</t>
  </si>
  <si>
    <t>Perception of American Defense Products</t>
  </si>
  <si>
    <t>Cultural attitudes toward U.S. military technology, quality reputation, and partnership reliability in Southeast Asian markets.</t>
  </si>
  <si>
    <t>Strong positive perception of U.S. defense quality and technology; interoperability advantages valued; American partnership viewed as security commitment signal.</t>
  </si>
  <si>
    <t>Reinforces U.S. global defense industry leadership; strengthens alliance structures; creates soft power advantages in contested regions.</t>
  </si>
  <si>
    <t>Provides competitive advantage for U.S. manufacturers over competitors; facilitates market access; supports premium pricing strategies.</t>
  </si>
  <si>
    <t>Enhances market entry prospects; differentiates from competitors; aligns with relationship-building efforts; supports collaboration core value.</t>
  </si>
  <si>
    <t>U.S. Security Partnership and Alliance Value</t>
  </si>
  <si>
    <t>Regional nations view U.S. defense partnerships as deterrents to aggression and signals of security commitment.</t>
  </si>
  <si>
    <t>Perception will strengthen as regional tensions increase; procurement of U.S. systems will signal alliance alignment increasingly.</t>
  </si>
  <si>
    <t>Deepens security cooperation between U.S. and Southeast Asian nations; increases receptivity to U.S. defense partnerships.</t>
  </si>
  <si>
    <t>Accelerates market access for U.S. manufacturers; creates preference for American systems; may ease offset requirements for strategic partnerships.</t>
  </si>
  <si>
    <t>Low influence; reputation reflects decades of U.S. military performance and foreign policy; can reinforce through quality and reliability.</t>
  </si>
  <si>
    <t>Autonomous and Unmanned Vehicle Systems</t>
  </si>
  <si>
    <t>Integration of AI, sensors, and control systems enabling remote operation or autonomous navigation of armored vehicles.</t>
  </si>
  <si>
    <t>Artificial Intelligence Military Applications</t>
  </si>
  <si>
    <t>Machine learning, computer vision, and autonomous decision-making systems increasingly integrated into defense platforms.</t>
  </si>
  <si>
    <t>Advanced Armor and Active Protection</t>
  </si>
  <si>
    <t>Next-generation composite materials, reactive armor, and active protection systems defeating emerging threats like drones and ATGMs.</t>
  </si>
  <si>
    <t>Drone and Precision Weapon Proliferation</t>
  </si>
  <si>
    <t>Digital Manufacturing and Industry 4.0</t>
  </si>
  <si>
    <t>Advanced production technologies including additive manufacturing, robotics, digital twins, and IoT-enabled factory systems.</t>
  </si>
  <si>
    <t>Early adoption phase; major manufacturers investing; productivity gains 20-30% demonstrated; implementation requires significant capital and expertise.</t>
  </si>
  <si>
    <t>Transforms global manufacturing competitiveness; enables mass customization; accelerates product development cycles; reshapes supply chains.</t>
  </si>
  <si>
    <t>Reduces production costs and lead times; enables flexible manufacturing; addresses workforce shortages; creates competitive advantages for early adopters.</t>
  </si>
  <si>
    <t>Requires major capital investment; supports scalability for dual-market operations; mitigates workforce constraints; enhances quality consistency.</t>
  </si>
  <si>
    <t>Manufacturing Technology Advancement and Automation</t>
  </si>
  <si>
    <t>Robotics, AI-driven quality control, and automated production systems transform manufacturing efficiency and precision.</t>
  </si>
  <si>
    <t>Adoption will accelerate industry-wide; cost reductions will enable competitive pricing; workforce requirements will shift toward technical skills.</t>
  </si>
  <si>
    <t>Enables smaller manufacturers to compete more effectively; reduces traditional scale advantages; accelerates production flexibility and responsiveness.</t>
  </si>
  <si>
    <t>Supports production scalability objective; reduces labor dependency; enables cost competitiveness in Southeast Asian markets; requires substantial investment.</t>
  </si>
  <si>
    <t>Moderate influence through capital investment decisions and technology partnerships; can choose adoption pace but cannot control industry trends.</t>
  </si>
  <si>
    <t>Foreign Corrupt Practices Act Compliance</t>
  </si>
  <si>
    <t>U.S. law prohibiting bribery of foreign officials; imposes strict compliance requirements on companies operating internationally.</t>
  </si>
  <si>
    <t>Rigorous enforcement by DOJ and SEC; penalties exceeding hundreds of millions; requires comprehensive compliance programs; affects all international business activities.</t>
  </si>
  <si>
    <t>Establishes different standards across nations; advantages countries with strict anti-corruption frameworks; shapes international business practices globally.</t>
  </si>
  <si>
    <t>Creates compliance cost burdens; requires extensive due diligence on partnerships; limits relationship-building methods in high-corruption-risk markets.</t>
  </si>
  <si>
    <t>Necessitates robust compliance program investment; constrains partnership selection; requires careful vetting of agents and intermediaries in Southeast Asia.</t>
  </si>
  <si>
    <t>Global Anti-Corruption Enforcement Intensification</t>
  </si>
  <si>
    <t>Increased international coordination on anti-bribery enforcement through OECD conventions and multilateral cooperation.</t>
  </si>
  <si>
    <t>Enforcement will intensify; cross-border cooperation will increase; penalties will escalate; compliance expectations will expand beyond direct violations.</t>
  </si>
  <si>
    <t>Raises global business conduct standards; increases prosecution risks; forces companies to implement more rigorous compliance frameworks internationally.</t>
  </si>
  <si>
    <t>Increases operational costs; extends contract timelines; requires enhanced due diligence; creates competitive disadvantages in markets tolerating corruption.</t>
  </si>
  <si>
    <t>Moderate influence through exemplary compliance culture; can advocate for enforcement but cannot control legal frameworks or enforcement priorities.</t>
  </si>
  <si>
    <t>Intellectual Property Protection in Southeast Asia</t>
  </si>
  <si>
    <t>Legal frameworks governing patent, trademark, and trade secret protection in target markets.</t>
  </si>
  <si>
    <t>Trade Agreement IP Standards</t>
  </si>
  <si>
    <t>Bilateral and multilateral trade agreements increasingly mandate stronger IP protections as conditions for market access.</t>
  </si>
  <si>
    <t>Defense Industry Export Licensing Requirements</t>
  </si>
  <si>
    <t>Statutory requirements governing approval processes for exporting military equipment under AECA and Arms Export Control Act.</t>
  </si>
  <si>
    <t>Mandatory Congressional notification for sales exceeding thresholds; State Department approval required; FMS channel strongly preferred; violations carry criminal penalties.</t>
  </si>
  <si>
    <t>Shapes global arms trade patterns; advantages established U.S. allies; creates delays and uncertainties in international defense transactions.</t>
  </si>
  <si>
    <t>Extends sales cycles 18-36 months; requires specialized legal expertise; limits commercial sales flexibility; favors government-to-government transactions.</t>
  </si>
  <si>
    <t>Delays Southeast Asian market entry timeline; requires dedicated regulatory affairs resources; constrains direct commercial sales strategies; mandates FMS channel.</t>
  </si>
  <si>
    <t>Geopolitical Alignment and Human Rights</t>
  </si>
  <si>
    <t>Export licensing increasingly scrutinizes human rights records and geopolitical alignment of recipient nations.</t>
  </si>
  <si>
    <t>Scrutiny will intensify; approvals for aligned nations will remain steady; applications for non-aligned nations face increased rejection risks.</t>
  </si>
  <si>
    <t>Reinforces security partnerships with aligned nations; limits defense trade with nations having poor human rights records or neutral stances.</t>
  </si>
  <si>
    <t>Creates predictability for allied nation sales; increases uncertainty for non-aligned markets; may exclude certain Southeast Asian countries.</t>
  </si>
  <si>
    <t>Low influence; can provide end-use documentation but cannot control policy decisions; geopolitical alignment outside organizational control.</t>
  </si>
  <si>
    <t>Southeast Asian Climate and Terrain</t>
  </si>
  <si>
    <t>Tropical conditions, high humidity, monsoons, jungle terrain, and extreme temperatures affecting vehicle performance and durability requirements.</t>
  </si>
  <si>
    <t>Region characterized by high heat (30-40°C), humidity (70-90%), heavy rainfall, coastal saltwater exposure, jungle and urban terrain variations.</t>
  </si>
  <si>
    <t>Defines operational requirements globally for tropical deployment; influences military equipment design standards; affects readiness and maintenance requirements worldwide.</t>
  </si>
  <si>
    <t>Establishes distinct customer requirements different from temperate-climate designs; creates specialization opportunities; affects testing and certification protocols.</t>
  </si>
  <si>
    <t>Requires vehicle adaptation for corrosion resistance, cooling systems, water fording; necessitates regional testing facilities; impacts engineering and validation timelines.</t>
  </si>
  <si>
    <t>Climate Change and Extreme Weather</t>
  </si>
  <si>
    <t>Rising temperatures, intensified monsoons, and sea-level rise increase severity of environmental stresses on military equipment.</t>
  </si>
  <si>
    <t>Environmental stresses will intensify; humidity and temperature extremes will increase; coastal operations face greater saltwater exposure risks.</t>
  </si>
  <si>
    <t>Elevates equipment durability requirements globally; increases maintenance burdens; accelerates replacement cycles for equipment in harsh environments.</t>
  </si>
  <si>
    <t>Raises performance standards for tropical markets; creates differentiation opportunities for environmentally-hardened systems; increases development costs.</t>
  </si>
  <si>
    <t>Moderate influence through engineering design choices and material selection; can exceed requirements to establish competitive advantage.</t>
  </si>
  <si>
    <t>Regional Transportation and Logistics Networks</t>
  </si>
  <si>
    <t>Port facilities, road networks, rail systems, and airlift capabilities for delivering vehicles and providing sustainment support.</t>
  </si>
  <si>
    <t>Infrastructure Investment and Regional Integration</t>
  </si>
  <si>
    <t>Defense Manufacturing Environmental Regulations</t>
  </si>
  <si>
    <t>Emissions standards, waste disposal requirements, and sustainability mandates affecting armored vehicle manufacturing operations and supply chains.</t>
  </si>
  <si>
    <t>U.S. EPA regulations stringent; ISO 14001 standards increasingly expected; DoD sustainability initiatives emerging; Southeast Asian regulations vary widely.</t>
  </si>
  <si>
    <t>Creates global manufacturing cost variations; influences industrial competitiveness; drives green technology adoption; affects supply chain structures worldwide.</t>
  </si>
  <si>
    <t>Increases compliance costs; drives investment in cleaner technologies; creates reputational considerations; affects facility location and expansion decisions.</t>
  </si>
  <si>
    <t>Requires ongoing environmental compliance investments at Detroit facility; influences partnership selection criteria; affects lifecycle cost calculations for customers.</t>
  </si>
  <si>
    <t>Sustainability and Defense Carbon Footprint</t>
  </si>
  <si>
    <t>Growing pressure from governments and stakeholders for defense industry to reduce environmental impact and adopt sustainable practices.</t>
  </si>
  <si>
    <t>Environmental scrutiny will increase moderately; U.S. will lead requirements; Southeast Asian nations will adopt gradually; competitive differentiation emerging.</t>
  </si>
  <si>
    <t>Creates new evaluation criteria for defense procurement; influences long-term industry reputation; drives innovation in sustainable materials and processes.</t>
  </si>
  <si>
    <t>Adds procurement evaluation dimensions; increases operational costs; creates differentiation opportunities for environmentally-responsible manufacturers.</t>
  </si>
  <si>
    <t>Moderate influence through proactive sustainability investments and transparent reporting; can establish leadership position in sustainable defense manufacturing.</t>
  </si>
  <si>
    <t>Regional Territorial Disputes and Tensions</t>
  </si>
  <si>
    <t>Sovereignty conflicts over South China Sea, maritime boundaries, and territorial claims creating military tension among Southeast Asian nations.</t>
  </si>
  <si>
    <t>Multiple overlapping territorial claims; increasing military incidents; China asserting control; ASEAN nations modernizing militaries; U.S. conducting freedom of navigation operations.</t>
  </si>
  <si>
    <t>Defines major geopolitical competition of era; shapes alliance structures; drives global military postures; influences arms trade patterns worldwide.</t>
  </si>
  <si>
    <t>Creates sustained defense procurement demand; drives vehicle modernization urgency; establishes clear threat-based requirements; justifies budget increases.</t>
  </si>
  <si>
    <t>Validates strategic issue and market opportunity; creates favorable conditions for U.S. defense partnerships; accelerates procurement timelines reducing entry barriers.</t>
  </si>
  <si>
    <t>Maritime Sovereignty Competition and Chinese Assertiveness</t>
  </si>
  <si>
    <t>China's territorial expansion claims and military activities in disputed waters increase regional security concerns and arms race dynamics.</t>
  </si>
  <si>
    <t>Tensions will persist or escalate; military buildups will continue; procurement urgency will remain high; U.S. partnerships will strengthen.</t>
  </si>
  <si>
    <t>Sustains elevated regional military spending; reinforces U.S. security partnerships; maintains high demand for deterrent capabilities and modernization.</t>
  </si>
  <si>
    <t>Creates long-term market opportunity; sustains defense budget growth; drives preference for proven U.S. systems with interoperability advantages.</t>
  </si>
  <si>
    <t>Minimal influence; geopolitical dynamics beyond organizational control; can position offerings to address security requirements effectively.</t>
  </si>
  <si>
    <t>Terrorism and Internal Insurgency Threats</t>
  </si>
  <si>
    <t>Violent extremist organizations and separatist movements requiring counterinsurgency and internal security operations across Southeast Asia.</t>
  </si>
  <si>
    <t>Active insurgencies in Philippines, Thailand, Myanmar; Islamic extremism in Indonesia, Malaysia; urban terrorism risks; varying government effectiveness responding.</t>
  </si>
  <si>
    <t>Affects global terrorism landscape; influences international security cooperation; shapes defense assistance patterns; impacts regional stability and investment.</t>
  </si>
  <si>
    <t>Creates demand for versatile vehicles suitable for counterinsurgency, urban operations, and peacekeeping; requires different specifications than conventional warfare.</t>
  </si>
  <si>
    <t>Expands market opportunity beyond conventional warfare scenarios; requires product adaptation for internal security roles; diversifies customer requirements.</t>
  </si>
  <si>
    <t>Extremism and Separatist Movement Persistence</t>
  </si>
  <si>
    <t>Religious extremism, ethnic separatism, and political instability sustain internal security threats requiring ongoing military and police responses.</t>
  </si>
  <si>
    <t>Internal threats will persist with periodic escalations; governments will maintain internal security focus alongside external defense modernization.</t>
  </si>
  <si>
    <t>Sustains demand for dual-use security equipment; creates opportunities for police and paramilitary vehicle markets; broadens defense cooperation scope.</t>
  </si>
  <si>
    <t>Requires engineering adaptations for urban environments and peacekeeping roles; expands addressable market beyond traditional military customers.</t>
  </si>
  <si>
    <t>Low influence; cannot affect insurgency dynamics; can design versatile platforms meeting both conventional and internal security requirements.</t>
  </si>
  <si>
    <t>Cybersecurity Threats to Defense Industrial Base</t>
  </si>
  <si>
    <t>Cyber espionage, intellectual property theft, and sabotage targeting defense manufacturers' proprietary technologies and systems.</t>
  </si>
  <si>
    <t>Sophisticated nation-state actors targeting defense contractors; intellectual property theft widespread; supply chain vulnerabilities; increasing DoD cybersecurity requirements.</t>
  </si>
  <si>
    <t>Shapes global industrial espionage landscape; affects technology development timelines; influences trust in international partnerships and supply chains.</t>
  </si>
  <si>
    <t>Increases operational costs through cybersecurity investments; creates liability risks; affects partnership trust; threatens competitive advantages from stolen IP.</t>
  </si>
  <si>
    <t>Threatens proprietary manufacturing processes and technologies (EEFI concern); requires substantial cybersecurity investments; affects partnership information sharing approaches.</t>
  </si>
  <si>
    <t>Nation-State Cyber Espionage Campaigns</t>
  </si>
  <si>
    <t>China, Russia, and other actors conduct persistent cyber operations to steal defense technologies and gain military advantages.</t>
  </si>
  <si>
    <t>Cyber threats will intensify; attribution will remain challenging; defensive requirements will escalate; supply chain attacks will increase.</t>
  </si>
  <si>
    <t>Accelerates cybersecurity requirements in defense procurement; increases costs industry-wide; creates trust barriers in international technology sharing.</t>
  </si>
  <si>
    <t>Forces manufacturers to implement sophisticated cybersecurity frameworks; increases IT costs; affects willingness to share sensitive information with partners.</t>
  </si>
  <si>
    <t>Moderate influence through robust cybersecurity investments and protocols; can protect own systems but cannot eliminate external threat actors.</t>
  </si>
  <si>
    <t>Congressional budget debates ongoing; signals suggest possible 5-20% reductions in ground vehicle procurement over uncertain timeframe.</t>
  </si>
  <si>
    <t>Creates uncertainty in global defense markets; influences allied procurement decisions based on U.S. commitment signals and partnership stability perceptions.</t>
  </si>
  <si>
    <t>Domestic manufacturers anticipate revenue volatility; increased competition for potentially fewer contracts; drives contingency planning and diversification strategies industry-wide.</t>
  </si>
  <si>
    <t>Creates urgency for market diversification to Southeast Asia per strategic issue; timing and severity of cuts remain highly uncertain.</t>
  </si>
  <si>
    <t>Budget reductions possible but magnitude uncertain; could range from modest to severe depending on political priorities and economic conditions.</t>
  </si>
  <si>
    <t>Could significantly reduce global confidence in U.S. defense partnerships or prove manageable; uncertainty affects allied planning and procurement timing.</t>
  </si>
  <si>
    <t>May shrink domestic market substantially or moderately; exact impact timing uncertain; forces manufacturers to prepare multiple contingency scenarios.</t>
  </si>
  <si>
    <t>Rapid development phase with prototypes demonstrated; operational timeline highly uncertain ranging from 5-15+ years; technical and ethical challenges unresolved.</t>
  </si>
  <si>
    <t>Could transform future warfare fundamentally or remain niche capability; timing uncertainty affects global military investment strategies and doctrine development.</t>
  </si>
  <si>
    <t>Technology adoption timing highly uncertain; could rapidly disrupt conventional platforms or develop incrementally over extended period; investment timing critical.</t>
  </si>
  <si>
    <t>Faces strategic choice on R&amp;D investment timing; premature investment risks wasted resources; delayed investment risks obsolescence; timing highly uncertain.</t>
  </si>
  <si>
    <t>Autonomy timeline highly uncertain; could accelerate with breakthroughs or stall on technical/ethical barriers; customer adoption timing unpredictable.</t>
  </si>
  <si>
    <t>Could rapidly reshape military doctrine and force structures or develop gradually; timing uncertainty creates strategic planning challenges globally.</t>
  </si>
  <si>
    <t>Technology readiness timeline uncertain; market could bifurcate quickly or gradually; optimal R&amp;D investment timing unclear for manufacturers.</t>
  </si>
  <si>
    <t>High influence through R&amp;D prioritization decisions; can lead, follow, or hedge; timing choice critical but outcome uncertain.</t>
  </si>
  <si>
    <t>Active protection systems emerging; actual battlefield effectiveness against drone swarms and advanced ATGMs not fully proven; threat severity debated.</t>
  </si>
  <si>
    <t>Drives potential arms race between offensive and defensive technologies; actual survivability improvements under real conditions remain uncertain.</t>
  </si>
  <si>
    <t>Could establish new critical performance benchmarks or prove less decisive than anticipated; customer prioritization timing uncertain.</t>
  </si>
  <si>
    <t>Aligns with survivability mission emphasis; requires substantial R&amp;D investment with uncertain competitive advantage duration and customer demand intensity.</t>
  </si>
  <si>
    <t>Low-cost unmanned aerial systems and anti-tank guided missiles potentially threaten conventional armored vehicle survivability.</t>
  </si>
  <si>
    <t>Active protection demand possible but adoption pace uncertain; actual threat severity to heavy armor debated; countermeasures evolving rapidly.</t>
  </si>
  <si>
    <t>May increase urgency for vehicle modernization substantially or prove manageable with incremental upgrades; market timing uncertain.</t>
  </si>
  <si>
    <t>Could create major competitive advantage for protection leaders or become table-stakes requirement quickly; optimal investment timing unclear.</t>
  </si>
  <si>
    <t>High influence through R&amp;D investments and technology partnerships; can lead development but market adoption timing uncertain.</t>
  </si>
  <si>
    <t>Southeast Asian cultures emphasize personal relationships, trust-building, hierarchical respect, and long-term commitments; manageable through cultural adaptation.</t>
  </si>
  <si>
    <t>Shapes international business patterns; advantages patient relationship investors; affects partnership formation pace but not ultimate feasibility.</t>
  </si>
  <si>
    <t>Extends relationship development timelines but does not prevent market entry; requires cultural competency but well-understood and manageable.</t>
  </si>
  <si>
    <t>Necessitates cultural competency development and patient engagement; requires investment but not insurmountable barrier; competitors face same requirements.</t>
  </si>
  <si>
    <t>Relationship expectations will persist; direct engagement will remain important; well-established practices that can be learned and implemented.</t>
  </si>
  <si>
    <t>Maintains entry barriers but not prohibitive; established players have advantages but newcomers can build relationships over time.</t>
  </si>
  <si>
    <t>Requires cultural training and sustained engagement investment; manageable cost of market entry; not differentiating factor long-term.</t>
  </si>
  <si>
    <t>Moderate influence through sustained engagement, cultural training, relationship investments; can build required relationships with appropriate commitment.</t>
  </si>
  <si>
    <t>Varies by country; enforcement inconsistent; risks manageable through contractual protections, partnership selection, and limited technology transfer strategies.</t>
  </si>
  <si>
    <t>Creates uneven playing field but manageable through careful partnership structuring; risks exist but not prohibitive for market entry.</t>
  </si>
  <si>
    <t>Requires protective legal structures and careful partnership agreements; increases transaction complexity but does not prevent market participation.</t>
  </si>
  <si>
    <t>Requires careful structuring of partnerships and technology sharing limits; manageable through contracts and selective disclosure rather than complete barrier.</t>
  </si>
  <si>
    <t>IP protections will gradually strengthen; risks can be managed through contractual protections and selective technology disclosure strategies.</t>
  </si>
  <si>
    <t>Improves confidence incrementally; risks remain manageable through standard protective business practices employed globally in emerging markets.</t>
  </si>
  <si>
    <t>IP risks manageable through established protective measures; does not significantly constrain partnership flexibility or market entry approach.</t>
  </si>
  <si>
    <t>Moderate influence through contractual protections, partnership selection, and controlled technology sharing; risks mitigable through standard practices.</t>
  </si>
  <si>
    <t>Infrastructure adequate for defense equipment delivery through major ports; while not ideal, sufficient capabilities exist; improvements underway.</t>
  </si>
  <si>
    <t>Affects supply chain efficiency but existing infrastructure adequate for defense shipments; improvements ongoing reduce constraints further.</t>
  </si>
  <si>
    <t>Delivery feasible through established ports and logistics networks; costs manageable; not significant barrier to market entry or operations.</t>
  </si>
  <si>
    <t>Delivery logistics manageable using existing shipping routes and port facilities; minor complexity increase but not constraint on market entry.</t>
  </si>
  <si>
    <t>ASEAN economic integration and Chinese Belt-Road Initiative drive infrastructure development improving logistics capabilities steadily.</t>
  </si>
  <si>
    <t>Infrastructure will continue improving; existing capabilities already adequate for defense logistics; enhancements reduce costs but not critical.</t>
  </si>
  <si>
    <t>Infrastructure adequate for current defense trade; improvements beneficial but not essential for market functioning.</t>
  </si>
  <si>
    <t>Current infrastructure sufficient for market entry; improvements provide marginal benefits but not game-changing for operations.</t>
  </si>
  <si>
    <t>Minimal influence; cannot affect infrastructure development; can utilize existing adequate capabilities effectively without dependency on improvements.</t>
  </si>
  <si>
    <t>-</t>
  </si>
  <si>
    <t>16</t>
  </si>
  <si>
    <t>7</t>
  </si>
  <si>
    <t>13; 15; 21</t>
  </si>
  <si>
    <t>10; 11; 12</t>
  </si>
  <si>
    <t>20</t>
  </si>
  <si>
    <t>2; 3; 9; 19</t>
  </si>
  <si>
    <t>4</t>
  </si>
  <si>
    <t>H</t>
  </si>
  <si>
    <t>Driver Decription</t>
  </si>
  <si>
    <t>Climate Adaptation Requirements</t>
  </si>
  <si>
    <t>Tropical environmental stresses intensify, demanding enhanced vehicle durability and performance engineering.</t>
  </si>
  <si>
    <t>Manufacturing Workforce Constraints</t>
  </si>
  <si>
    <t>Aging workforce and skills gaps limit production capacity and drive automation investments.</t>
  </si>
  <si>
    <t>Western Governance Standards Enforcement</t>
  </si>
  <si>
    <t>Geopolitical alignment drives anti-corruption enforcement and cyber threats intensify against democratic nations.</t>
  </si>
  <si>
    <t>Relationship-Based Market Entry</t>
  </si>
  <si>
    <t>Cultural norms require long-term trust-building and patient engagement in Southeast Asian markets.</t>
  </si>
  <si>
    <t>Defense Technology Transformation</t>
  </si>
  <si>
    <t>AI, autonomous systems, and manufacturing automation adoption timing creates competitive differentiation uncertainty.</t>
  </si>
  <si>
    <t>Geopolitical Security Escalation</t>
  </si>
  <si>
    <t>China assertiveness drives regional tensions, defense modernization urgency, and U.S. alliance value.</t>
  </si>
  <si>
    <t>U.S. Defense Budget Constraint</t>
  </si>
  <si>
    <t>Fiscal pressures reduce domestic procurement and challenge alliance commitment perceptions.</t>
  </si>
  <si>
    <t>Regional prosperity enables sustained defense spending and technological sophistication demands.</t>
  </si>
  <si>
    <t>Internal Security Threats</t>
  </si>
  <si>
    <t>Extremism and insurgencies expand addressable markets beyond conventional military applications.</t>
  </si>
  <si>
    <t>J</t>
  </si>
  <si>
    <t>Geopolitical disruptions and material shortages create unpredictable cost and delivery challenges.</t>
  </si>
  <si>
    <t>8</t>
  </si>
  <si>
    <t>1</t>
  </si>
  <si>
    <t>2027-2028</t>
  </si>
  <si>
    <t>First Climate-Induced System Failures</t>
  </si>
  <si>
    <t>Early Southeast Asian deployments of temperate-climate vehicles experience catastrophic cooling system failures and accelerated corrosion in tropical conditions, creating urgent market demand for climate-hardened alternatives.</t>
  </si>
  <si>
    <t>Validates climate adaptation as mandatory requirement; manufacturers without tropical capabilities lose credibility; engineering specifications tighten industry-wide.</t>
  </si>
  <si>
    <t>Major FCPA Enforcement Actions</t>
  </si>
  <si>
    <t>DOJ prosecutes three mid-tier defense contractors for Southeast Asian bribery, resulting in $200M+ penalties and debarment from export licensing, sending shockwaves through industry.</t>
  </si>
  <si>
    <t>Compliance becomes board-level priority; manufacturers invest heavily in anti-corruption programs; due diligence on agents and intermediaries intensifies dramatically.</t>
  </si>
  <si>
    <t>2030-2031</t>
  </si>
  <si>
    <t>Manufacturing Workforce Crisis Peak</t>
  </si>
  <si>
    <t>Baby Boomer retirements reach maximum velocity; defense industry reports 35% skilled labor shortage; delivery delays cascade across sector; wages spike 25-30% for experienced welders and machinists.</t>
  </si>
  <si>
    <t>Accelerates automation investments; manufacturers establish apprenticeship programs; some companies relocate or establish partnerships for access to international skilled labor pools.</t>
  </si>
  <si>
    <t>Landmark Southeast Asian Partnership Agreement</t>
  </si>
  <si>
    <t>First U.S. manufacturer establishes successful joint venture with Southeast Asian partner, demonstrating viable model for technology sharing, local production, and relationship-based market access.</t>
  </si>
  <si>
    <t>Proves patient relationship investment yields results; competitors scramble to replicate model; governments formalize offset and partnership expectations based on precedent.</t>
  </si>
  <si>
    <t>2033-2034</t>
  </si>
  <si>
    <t>Sophisticated Cyber Breaches Exposed</t>
  </si>
  <si>
    <t>Chinese APT group compromises multiple defense contractors, stealing armor composition data, manufacturing processes, and customer bid strategies; losses estimated at $2B+ in competitive advantage.</t>
  </si>
  <si>
    <t>Cybersecurity becomes competitive differentiator; DoD mandates CMMC Level 3 for all contractors; insurance costs spike; some manufacturers exit international markets due to risk.</t>
  </si>
  <si>
    <t>Climate-Hardened Systems Become Standard</t>
  </si>
  <si>
    <t>All major Southeast Asian procurement specifications mandate tropical performance standards; manufacturers without climate-adapted portfolios excluded from competitions; premium pricing erodes as capability becomes baseline expectation.</t>
  </si>
  <si>
    <t>Climate adaptation transitions from differentiator to table-stakes; late adopters face market exclusion; focus shifts to next-generation capabilities beyond climate baseline.</t>
  </si>
  <si>
    <t>AI Breakthrough in Threat Detection</t>
  </si>
  <si>
    <t>Commercial AI achieves 99.9% accuracy in real-time threat classification; defense applications demonstrate drone-swarm defeat capabilities; DoD accelerates autonomous system funding; procurement specifications begin incorporating AI requirements.</t>
  </si>
  <si>
    <t>Validates AI military viability; triggers industry R&amp;D race; manufacturers without AI capabilities recognize existential threat; venture capital floods defense tech startups; talent competition intensifies dramatically.</t>
  </si>
  <si>
    <t>2029-2030</t>
  </si>
  <si>
    <t>First Autonomous Vehicle Contract Award</t>
  </si>
  <si>
    <t>U.S. Army awards $2.5B contract for optionally-manned reconnaissance vehicles with Level 4 autonomy; Southeast Asian nations immediately express procurement interest; specifications require tropical operation capability and active protection integration.</t>
  </si>
  <si>
    <t>Establishes autonomous platforms as mainstream requirement; manufacturers scramble to develop capabilities; Sentinel faces decision point on autonomous R&amp;D investment; export licensing questions arise immediately regarding AI technology transfer.</t>
  </si>
  <si>
    <t>Digital Manufacturing Cost Revolution</t>
  </si>
  <si>
    <t>Industry study reveals 50% cost reductions and 60% faster delivery from fully automated production lines; early adopters report zero-defect rates; shareholders demand automation investments; customers expect cost savings pass-through in bids.</t>
  </si>
  <si>
    <t>Redefines competitive economics; forces industry-wide automation adoption; workforce displacement accelerates; unions negotiate transition agreements; manufacturers without automation capital face margin compression and potential bankruptcy.</t>
  </si>
  <si>
    <t>2032-2033</t>
  </si>
  <si>
    <t>Active Protection Becomes Mandatory</t>
  </si>
  <si>
    <t>Major drone attack on conventional armored vehicles in Middle East conflict demonstrates vulnerability; multiple casualties attributed to outdated defense systems; Southeast Asian procurement agencies mandate active protection on all new acquisitions; retrofit demands surge.</t>
  </si>
  <si>
    <t>Transforms survivability requirements overnight; manufacturers with integrated systems capture contracts; technology licensing becomes lucrative; cyber protection of active protection software becomes critical vulnerability; insurance costs spike for unprotected vehicles.</t>
  </si>
  <si>
    <t>Technology Transfer Requirements Intensify</t>
  </si>
  <si>
    <t>Southeast Asian nations demand AI and autonomous technology co-development as offset requirement; refuse procurement without local capability building; State Department struggles with export control policy; manufacturers face choice between market access and technology protection.</t>
  </si>
  <si>
    <t>Forces strategic decisions on IP sharing; some manufacturers exit markets rather than transfer technology; others establish joint ventures with strict IP protections; procurement timelines extend 18 months for technology transfer negotiations.</t>
  </si>
  <si>
    <t>2035-2036</t>
  </si>
  <si>
    <t>Consolidation Wave Completes</t>
  </si>
  <si>
    <t>Six mid-tier manufacturers merge or exit market, unable to sustain technology R&amp;D costs; market consolidates to four major players globally; remaining competitors achieve significant economies of scale; pricing power shifts to manufacturers; customers face reduced competition and longer delivery times.</t>
  </si>
  <si>
    <t>Reshapes competitive landscape permanently; survivors achieve strong market positions; technology leadership becomes insurmountable barrier to entry; Southeast Asian market concentrates among established players with proven technology partnerships.</t>
  </si>
  <si>
    <t>Scarborough Shoal Standoff</t>
  </si>
  <si>
    <t>Chinese coast guard forcibly expels Philippine fishing vessels from disputed waters; brief military mobilization follows; U.S. reaffirms mutual defense treaty; tensions de-escalate but establish aggressive Chinese pattern; Southeast Asian defense ministers meet emergency session.</t>
  </si>
  <si>
    <t>Validates threat perceptions; triggers initial defense budget increases; U.S. defense contractors receive priority consideration; governments begin accelerating procurement planning; relationship-building with American manufacturers intensifies dramatically.</t>
  </si>
  <si>
    <t>South China Sea Military Incidents</t>
  </si>
  <si>
    <t>Series of dangerous intercepts between Chinese and Vietnamese aircraft; collision results in casualties; international condemnation follows; China increases military presence; Vietnam announces emergency $15B defense modernization; Philippines and Indonesia follow with major procurement programs.</t>
  </si>
  <si>
    <t>Transforms threat from theoretical to immediate; procurement timelines compress from 5 years to 18-24 months; offset requirements waived for urgent capabilities; U.S. manufacturers flooded with requests for proposals; export licensing prioritized for Southeast Asia.</t>
  </si>
  <si>
    <t>U.S.-China Trade Decoupling Accelerates</t>
  </si>
  <si>
    <t>Congress bans Chinese components in defense systems; China retaliates with rare earth export restrictions; semiconductor supply chains disrupted; defense manufacturers scramble to establish alternative suppliers; costs spike 15-20%; production delays cascade across industry.</t>
  </si>
  <si>
    <t>Forces complete supply chain restructuring; manufacturers invest billions in China-independent sourcing; government subsidizes domestic rare earth production; allied sourcing networks formalized; procurement costs increase but security concerns override economics.</t>
  </si>
  <si>
    <t>Regional Defense Alliance Formalized</t>
  </si>
  <si>
    <t>Southeast Asian nations establish formal defense cooperation framework with U.S. security guarantees; permanent U.S. military presence expanded; interoperability becomes mandatory procurement requirement; standardized equipment specifications adopted to enable joint operations; Chinese diplomatic protests ignored.</t>
  </si>
  <si>
    <t>Revolutionizes procurement landscape—U.S. systems achieve overwhelming preference; interoperability requirements exclude Chinese competitors entirely; relationship-based market entry accelerates as alliance membership signals trusted partner status; non-aligned manufacturers marginalized.</t>
  </si>
  <si>
    <t>Major Cyber Attack on Defense Contractors</t>
  </si>
  <si>
    <t>Chinese APT conducts coordinated attacks on U.S. and allied defense suppliers; production systems compromised; vehicle designs stolen; investigations reveal potential sabotage code embedded in exported vehicles; Congressional hearings demand accountability; cybersecurity requirements become procurement prerequisites.</t>
  </si>
  <si>
    <t>Cybersecurity transforms from compliance burden to strategic imperative; manufacturers without sophisticated protections lose contracts; insurance costs spike; government mandates supply chain security audits; some smaller contractors exit market unable to meet requirements; consolidation accelerates.</t>
  </si>
  <si>
    <t>Sustained High Tension Becomes Normal</t>
  </si>
  <si>
    <t>Decade of crisis management establishes "new normal" of elevated military readiness; defense budgets stabilize at 40-50% above 2026 levels; procurement demand sustains but urgency moderates slightly; manufacturers achieve stable production at higher volumes; workforce training pipelines mature; supply chains stabilize with China-independent networks operational.</t>
  </si>
  <si>
    <t>Market matures into sustained higher demand environment; early entrants with established positions dominate; barriers to entry insurmountable for newcomers; Sentinel's Southeast Asian presence becomes permanent strategic asset generating predictable revenue streams; geopolitical risk remains but operationalized as business reality.</t>
  </si>
  <si>
    <t xml:space="preserve">Climate adaptation engineering complexity demands substantial R&amp;D investment estimated at $50-75M with extended validation timelines, straining capital without guaranteed success. Workforce crisis threatens production quality as inability to attract skilled welders, machinists, and engineers creates capacity constraints that automation cannot fully compensate. Single FCPA violation triggers massive penalties exceeding $100M, criminal prosecution, and permanent market exclusion, while cyber breaches exposing proprietary armor technologies eliminate competitive advantage overnight. Cultural missteps destroy years of trust-building instantly. Simultaneous demands for climate R&amp;D, automation investment, compliance infrastructure, and patient market development create capital intensity barriers that exhaust financial resources and force difficult trade-offs. Unpredictable export license delays create customer frustration and open opportunities for competitors. </t>
  </si>
  <si>
    <t>Early investment in tropical engineering creates climate specialization leadership with defensible competitive advantage and premium pricing power. Workforce constraints justify major automation investments that improve quality consistency, reduce costs, and enable flexible production for multiple markets simultaneously. Patient relationship-building creates strategic partnership positioning with durable barriers to entry, yielding multi-decade contract streams as switching costs favor incumbents. Sophisticated FCPA and export licensing capabilities differentiate through compliance excellence, building trust with both U.S. government approvers and Southeast Asian procurement officials. Demonstrated protection of proprietary technologies enhances cyber resilience brand reputation with security-conscious governments. Deep cultural competency enables navigation of complex offset negotiations and public-private partnership structures that competitors find impenetrable.</t>
  </si>
  <si>
    <t xml:space="preserve">The armored vehicle manufacturing industry transforms into a compliance-intensive, relationship-driven, technically demanding sector. Climate-hardened vehicle specifications become market entry requirements—manufacturers unable to deliver tropical-capable systems face complete exclusion. Workforce scarcity drives industry consolidation as smaller players lack resources for automation investments. The competitive landscape bifurcates: established relationships win contracts while newcomers face 5-7 year market entry timelines. Cyber threats necessitate sophisticated information security investments, increasing operational costs 15-20%. Export licensing delays extend to 24-36 months, requiring patient capital. Anti-corruption compliance becomes board-level priority with dedicated compliance officers. Cultural norms persist, favoring manufacturers willing to invest in local presence and demonstrate long-term partnership commitment. </t>
  </si>
  <si>
    <t>By 2036, Southeast Asia's defense market operates under intensified environmental and operational constraints. Tropical climate extremes—40°C temperatures, 90% humidity, severe monsoons—demand sophisticated vehicle engineering with advanced corrosion resistance, cooling systems, and water-fording capabilities. U.S. manufacturing faces acute workforce constraints as Baby Boomer retirements peak and technical education pipelines remain inadequate, forcing defense manufacturers toward automation and international production partnerships. Western governance standards tighten: anti-corruption enforcement through FCPA reaches unprecedented levels, export licensing scrutiny intensifies based on human rights records, and sophisticated Chinese and Russian cyber campaigns persistently target defense contractors' intellectual property. Southeast Asian business culture remains relationship-centric, requiring years of trust-building before contract awards.</t>
  </si>
  <si>
    <t>By 2036, the strategic assumptions underpinning Southeast Asian market entry have catastrophically failed. Regional economic growth stalls following 2029 financial crisis—overleveraged infrastructure projects default, real estate bubbles burst, and banking systems require IMF intervention. Defense budgets contract 30-40% as governments prioritize economic stabilization and social welfare over military modernization. Simultaneously, internal security threats metastasize beyond containment—Islamic extremism spreads across Indonesia and Malaysia; Myanmar's civil war spills into Thailand; Philippine insurgencies intensify. Multiple governments face legitimacy crises as military coups and authoritarian crackdowns replace democratic institutions. Global supply chain volatility becomes catastrophic—Taiwan Strait crisis triggers semiconductor embargo; China weaponizes rare earth monopolies; regional shipping disruptions cascade. The pre-determined trends from the core future prove insufficient buffers: climate adaptation becomes irrelevant when customers cannot afford vehicles; workforce constraints worsen but demand disappears; Western governance standards complicate operations in increasingly authoritarian states; cyber threats intensify but target collapsing infrastructure.</t>
  </si>
  <si>
    <t>2028-2029</t>
  </si>
  <si>
    <t>Southeast Asian Financial Crisis</t>
  </si>
  <si>
    <t>China's real estate collapse triggers regional contagion; overleveraged Southeast Asian infrastructure projects default; currencies depreciate 40-60% against dollar; IMF emergency interventions required across Indonesia, Vietnam, Philippines; defense budgets slashed immediately as governments prioritize economic stabilization.</t>
  </si>
  <si>
    <t>Destroys assumptions of sustained economic growth; defense procurement freezes industry-wide; U.S. manufacturers with Southeast Asian exposure see stock prices collapse 30-40%; contracts canceled or suspended indefinitely; relationship investments yield no returns.</t>
  </si>
  <si>
    <t>Myanmar Civil War Regional Spillover</t>
  </si>
  <si>
    <t>Myanmar's military government loses control of borderlands; ethnic armed groups expand operations into Thailand; refugee flows destabilize region; Thai military stages coup citing security threats; democratic backsliding accelerates across ASEAN; Western governments suspend military cooperation.</t>
  </si>
  <si>
    <t>Regional instability destroys market viability; U.S. export licenses suspended pending human rights reviews; manufacturers face impossible choice between market access and compliance with sanctions; government-to-government sales channels collapse with regime changes.</t>
  </si>
  <si>
    <t>2031-2032</t>
  </si>
  <si>
    <t>Taiwan Strait Crisis and Semiconductor Embargo</t>
  </si>
  <si>
    <t>China blockades Taiwan following independence referendum; U.S. responds with technology export controls; semiconductor supply chains collapse globally; defense electronics production halts; alternate suppliers require 3-5 years to scale; vehicle production impossible without avionics and communications systems.</t>
  </si>
  <si>
    <t>Supply chain assumptions prove catastrophically wrong; armored vehicle production stops industry-wide despite any demand; $50B defense backlog accumulates; Congressional investigations demand supply chain resilience that cannot be achieved quickly; industry credibility destroyed.</t>
  </si>
  <si>
    <t>Islamic Extremism Surge Across Indonesia/Malaysia</t>
  </si>
  <si>
    <t>Coordinated terrorist attacks across Jakarta and Kuala Lumpur kill hundreds; extremist groups gain territorial control in rural areas; governments declare emergencies and suspend democratic processes; military crackdowns trigger international condemnation; U.S. military cooperation suspended; FCPA scrutiny intensifies for companies operating in authoritarian contexts.</t>
  </si>
  <si>
    <t>Internal security replaces conventional defense as priority but creates compliance nightmares; equipment sold to authoritarian regimes used in human rights violations; manufacturers face reputational catastrophe and potential prosecution; some exit markets entirely accepting losses.</t>
  </si>
  <si>
    <t>South China Sea Shipping Collapse</t>
  </si>
  <si>
    <t>China closes international shipping lanes through South China Sea following territorial dispute escalation; 40% of global container traffic rerouted through longer routes; shipping costs quadruple; component delivery timelines extend 8-12 months; defense supply chains experience cascading failures as just-in-time logistics collapse completely.</t>
  </si>
  <si>
    <t>Regional supply chain volatility becomes existential crisis; manufacturers cannot fulfill contracts due to component shortages from disrupted Asian suppliers; production delays cascade globally; customers cancel orders unable to wait; some defense contractors face bankruptcy from breach-of-contract penalties.</t>
  </si>
  <si>
    <t>Authoritarian Consolidation and Market Fragmentation</t>
  </si>
  <si>
    <t>Southeast Asian democratic transitions reverse—military governments control Thailand, Myanmar, Philippines; authoritarian capitalism dominates Indonesia, Vietnam; ASEAN fragments into competing blocs; U.S. military partnerships collapse; China expands influence through debt-trap diplomacy; Western manufacturers systematically excluded from procurement favoring Chinese systems despite inferior capabilities.</t>
  </si>
  <si>
    <t>Completes market loss for U.S. manufacturers; decade of investment yields zero return; geopolitical realignment makes Southeast Asia effectively inaccessible for American defense companies; industry accepts losses and refocuses on other markets; strategic assumption of Southeast Asian opportunity as domestic diversification proven catastrophically wrong.</t>
  </si>
  <si>
    <t xml:space="preserve">The operational area transforms from opportunity to strategic liability. Southeast Asian defense procurement collapses—contract cancellations cascade as governments redirect budgets to internal security, economic stimulus, and debt service. Existing contracts become unenforceable as currency devaluations make dollar-denominated payments impossible; governments demand renegotiation at 50-60% discounts or threaten default. Internal instability renders business operations untenable—coups disrupt government-to-government agreements; corruption explodes as authoritarian regimes abandon Western standards; expatriate staff face evacuation as security deteriorates. Supply chain catastrophe makes armored vehicle production impossible regardless of demand—missing titanium halts armor production; semiconductor shortages disable electronics integration; shipping disruptions prevent component delivery. Manufacturers face impossible choices: write off sunk investments in Southeast Asian market development or continue operations in increasingly hostile environments with collapsing profit margins. Industry consolidates violently—manufacturers without diversified revenue streams face bankruptcy. </t>
  </si>
  <si>
    <t xml:space="preserve">Despite catastrophic conditions, limited opportunities emerge for resilient organizations. Economic crisis creates distressed asset acquisition opportunities—failed competitors' production facilities, technology patents, and trained workforces available at fraction of replacement cost. Supply chain disruption justifies vertical integration investments that strengthen long-term competitive position when markets recover. Governments desperate for economic activity offer unprecedented incentives for domestic manufacturing—tax holidays, subsidized facilities, workforce training programs—to retain defense industrial capability. Internal security equipment demand spikes even as conventional military procurement collapses—armored personnel carriers for riot control, urban warfare variants, and counterinsurgency platforms create alternative market segments. Authoritarian governments expedite procurement bypassing traditional relationship-building timelines for immediate capability delivery. Manufacturers with diverse portfolios pivot toward internal security and law enforcement customers less affected by defense budget cuts. Crisis validates importance of financial resilience and operational flexibility as competitive advantages. </t>
  </si>
  <si>
    <t>Market collapse threatens organizational survival. Southeast Asian investments become stranded assets—$200M+ in market development, climate adaptation R&amp;D, relationship building, and partnership agreements yield zero return as procurement evaporates. Workforce investments prove wasted as skilled labor trained for Southeast Asian production requirements becomes redundant; layoffs destroy institutional knowledge and cultural competency. Supply chain catastrophe forces production shutdowns lasting months—single missing component halts entire vehicle assembly; customers defect to competitors with available inventory; penalty clauses trigger millions in liabilities. Financial exposure multiplies—currency devaluations destroy receivables; contract defaults cascade; letters of credit become worthless as banks fail. Authoritarian pivots create reputational damage—selling to coup governments triggers Congressional investigations, human rights advocacy campaigns, and potential FCPA violations that destroy brand reputation. Geopolitical volatility eliminates patient capital—shareholders demand immediate Southeast Asian exit; stock price collapses; hostile takeover becomes viable.</t>
  </si>
  <si>
    <t>Tropical Climate Failures</t>
  </si>
  <si>
    <t>Vehicle performance failures in Southeast Asian environments validate climate adaptation as mandatory requirement</t>
  </si>
  <si>
    <t>Track vehicle breakdown rates in tropical deployments; monitor RFP specifications requiring climate certifications; count contract awards citing tropical capability as selection criterion</t>
  </si>
  <si>
    <t>Defense Workforce Crisis Deepening</t>
  </si>
  <si>
    <t>Manufacturing labor shortages intensify beyond current projections, forcing automation investments</t>
  </si>
  <si>
    <t>Monitor skilled manufacturing wage inflation rates (&gt;15% annually signals crisis); track defense industry job vacancy duration (&gt;180 days signals acute shortage); measure automation equipment orders by defense contractors</t>
  </si>
  <si>
    <t>FCPA Enforcement Escalation</t>
  </si>
  <si>
    <t>Anti-corruption enforcement intensifies with major prosecutions of defense contractors</t>
  </si>
  <si>
    <t>Count DOJ FCPA investigations in defense sector annually; track average penalty amounts (&gt;$100M signals escalation); monitor debarment actions against contractors for foreign bribery</t>
  </si>
  <si>
    <t>Cyber Breach Frequency</t>
  </si>
  <si>
    <t>Nation-state cyber campaigns against defense contractors increase in frequency and sophistication</t>
  </si>
  <si>
    <t>Track publicly disclosed defense contractor breaches quarterly; monitor cyber insurance premium increases for defense sector; count government-mandated cybersecurity standard upgrades (CMMC levels)</t>
  </si>
  <si>
    <t>Relationship-Based Market Entry Timelines</t>
  </si>
  <si>
    <t>Southeast Asian contract awards consistently favor manufacturers with multi-year local presence</t>
  </si>
  <si>
    <t>Measure average time from market entry to first contract award; track percentage of contracts won by companies with local offices vs. remote bidders; monitor joint venture formation rates</t>
  </si>
  <si>
    <t>AI Military Application Breakthroughs</t>
  </si>
  <si>
    <t>Artificial intelligence achieves operational military viability milestones ahead of projections</t>
  </si>
  <si>
    <t>Monitor DoD AI R&amp;D budget increases (&gt;30% annually signals acceleration); track operational AI system deployments by military; count defense RFPs specifying AI requirements; measure venture capital investment in defense AI startups</t>
  </si>
  <si>
    <t>Autonomous Vehicle Procurement</t>
  </si>
  <si>
    <t>Military customers begin awarding contracts for autonomous or optionally-manned platforms</t>
  </si>
  <si>
    <t>Track contract awards for autonomous systems (&gt;$1B signals mainstream adoption); monitor RFP language requiring autonomous capabilities; count prototype demonstrations to military customers</t>
  </si>
  <si>
    <t>Active Protection System Mandates</t>
  </si>
  <si>
    <t>Drone proliferation drives universal adoption of active protection as baseline requirement</t>
  </si>
  <si>
    <t>Count RFPs mandating active protection systems; track active protection integration announcements by manufacturers; monitor drone incident reports driving policy changes; measure active protection system market size growth</t>
  </si>
  <si>
    <t>Additive manufacturing and automation achieve dramatic cost reductions validating transformation</t>
  </si>
  <si>
    <t>Monitor defense industry automation investment levels (&gt;$5B annually signals acceleration); track reported cost reduction percentages from digital manufacturing; count facilities transitioning to lights-out production</t>
  </si>
  <si>
    <t>Technology Export Control Tightening</t>
  </si>
  <si>
    <t>State Department classifies AI and autonomous technologies as sensitive, restricting exports</t>
  </si>
  <si>
    <t>Track ITAR classification additions for emerging technologies; monitor export license denial rates for AI/autonomous systems; count Congressional hearings on technology transfer risks</t>
  </si>
  <si>
    <t>Frequency and severity of maritime confrontations between China and Southeast Asian nations escalate</t>
  </si>
  <si>
    <t>Count military incidents monthly (&gt;3 per quarter signals escalation); track casualties from confrontations; monitor duration of elevated alert statuses; measure diplomatic protest frequency</t>
  </si>
  <si>
    <t>Emergency Defense Budget Increases</t>
  </si>
  <si>
    <t>Southeast Asian governments implement emergency procurement outside normal budget cycles</t>
  </si>
  <si>
    <t>Track defense budget increases &gt;20% year-over-year; count emergency appropriations; monitor procurement timeline compression (normal 5-year to &lt;24 months signals urgency); measure contract awards bypassing offset requirements</t>
  </si>
  <si>
    <t>U.S. Military Presence Expansion</t>
  </si>
  <si>
    <t>Permanent U.S. military deployments and base access agreements increase across region</t>
  </si>
  <si>
    <t>Count new U.S. base access agreements; track U.S. military personnel stationed in Southeast Asia; monitor joint exercise frequency and scale increases; measure defense cooperation agreement signings</t>
  </si>
  <si>
    <t>Export License Acceleration</t>
  </si>
  <si>
    <t>State Department prioritizes Southeast Asian export approvals with dramatically reduced timelines</t>
  </si>
  <si>
    <t>Track average export license approval duration for Southeast Asian sales; monitor State Department policy announcements on allied nation prioritization; count expedited license approvals</t>
  </si>
  <si>
    <t>Chinese Rare Earth Export Restrictions</t>
  </si>
  <si>
    <t>China implements strategic material export controls targeting defense supply chains</t>
  </si>
  <si>
    <t>Monitor rare earth export volume restrictions; track pricing spikes for strategic materials; count alternative supplier development initiatives; measure stockpiling activities by governments</t>
  </si>
  <si>
    <t>Southeast Asian Financial Distress</t>
  </si>
  <si>
    <t>Economic indicators signal impending regional financial crisis</t>
  </si>
  <si>
    <t>Monitor sovereign debt-to-GDP ratios exceeding 80%; track currency depreciation &gt;30% annually; count IMF consultation requests; measure capital flight volumes; watch infrastructure project default rates</t>
  </si>
  <si>
    <t>Defense Budget Contraction</t>
  </si>
  <si>
    <t>Economic crisis forces Southeast Asian governments to slash military spending</t>
  </si>
  <si>
    <t>Track defense budget cuts &gt;20% year-over-year; count contract cancellations or suspensions; monitor procurement freeze announcements; measure payment delays on existing contracts (&gt;90 days signals distress)</t>
  </si>
  <si>
    <t>Internal Security Deterioration</t>
  </si>
  <si>
    <t>Civil conflict and extremism spread beyond containment</t>
  </si>
  <si>
    <t>Count terrorist incidents quarterly; monitor internally displaced persons volumes; track government emergency declarations; measure coup attempts or successful regime changes; watch Western military cooperation suspensions</t>
  </si>
  <si>
    <t>Democratic Backsliding</t>
  </si>
  <si>
    <t>Authoritarian consolidation replaces democratic governance across region</t>
  </si>
  <si>
    <t>Track Freedom House democracy scores declining; count military coups or emergency rule implementations; monitor election cancellations or irregularities; measure opposition leader arrests; watch media freedom restrictions</t>
  </si>
  <si>
    <t>Taiwan Strait Crisis Escalation</t>
  </si>
  <si>
    <t>Cross-strait tensions threaten semiconductor supply chains</t>
  </si>
  <si>
    <t>Monitor Taiwan military alert levels; track semiconductor manufacturer contingency planning announcements; count supply chain diversification initiatives away from Taiwan; measure TSMC stock volatility; watch U.S. policy announcements on Taiwan defense</t>
  </si>
  <si>
    <t>China Market Capture</t>
  </si>
  <si>
    <t>Chinese defense manufacturers systematically displace U.S. competitors in Southeast Asia</t>
  </si>
  <si>
    <t>Track Chinese defense contract award percentages in Southeast Asia; count debt-for-procurement arrangements; monitor ASEAN-China military cooperation agreements; measure U.S. manufacturer market share decline</t>
  </si>
  <si>
    <t>The Compliance Gauntlet: Earning Trust in Hostile Environments</t>
  </si>
  <si>
    <t>Silicon Sentinels: When Machines Reimagine Warfare</t>
  </si>
  <si>
    <t>Deterrence Dividends: Profiting from Proximity to Conflict</t>
  </si>
  <si>
    <t>Mirage Markets: When Strategic Assumptions Shatter Spectacularly</t>
  </si>
  <si>
    <t>The 2029 Jakarta Stock Exchange suspension seems like a temporary blip until it isn't. Sentinel's Southeast Asia president watches from his hotel room as currency values collapse 60% overnight; by morning, the $500M contract signed three months earlier is effectively worthless in dollar terms while his company's costs remain denominated in dollars. The Indonesian government requests "renegotiation"—a polite word for demanding 50% discounts or threatening default. By 2031, Myanmar's civil war spills across borders; Thailand's military stages a coup; the U.S. State Department suspends all defense export licenses pending human rights reviews; and Sentinel's decade of relationship-building becomes legally toxic as partners face war crimes allegations. Back in Tennessee, the factory floor sits eerily quiet—vehicles designed for tropical warfare gather dust as demand evaporates; laid-off workers trained in specialized skills scatter to other industries; and the CFO calculates write-offs: $200M in market development, $75M in climate R&amp;D, $50M in abandoned partnership agreements. Shareholders demand answers at a brutal annual meeting: "Why did we bet the company's future on a region that collapsed?" The CEO has no good response. In hindsight, every assumption was defensible—economic growth trends were real, security threats were genuine, government partnerships were sincere—but the convergence of financial crisis, civil conflict, and supply chain catastrophe created a perfect storm no planning anticipated. This is the future nobody prepared for because it seemed too improbable, yet here it stands: billions invested, zero returned, and the humbling lesson that not every market opportunity deserves pursuit.</t>
  </si>
  <si>
    <t>Summary</t>
  </si>
  <si>
    <t>Picture the first tropical deployment of Sentinel vehicles in 2030—a convoy of armored vehicles crosses steaming Vietnamese highlands where temperatures hit 42°C and humidity chokes like a wet blanket. While competitors' systems overheat and seize, Sentinel's climate-hardened platforms operate flawlessly, vindicating years of expensive R&amp;D that skeptical shareholders questioned. Back in Tennessee, the factory floor tells a different story: graying welders train their last apprentices before retirement, knowing replacement takes years they don't have; robotic arms now handle 60% of assembly, but master craftsmen remain irreplaceable for complex armor integration. In Jakarta, Sentinel's country director spends his third year building relationships—endless tea ceremonies, factory tours for procurement officials' extended families, sponsoring military academy scholarships—investments that finally yield the first contract in 2032. Meanwhile, FBI agents arrive unannounced at headquarters for routine FCPA audits, combing through every agent payment, gift, and dinner receipt from five years of Southeast Asian operations. At 2 AM, the cybersecurity team battles another intrusion attempt—the third this month—racing to isolate compromised servers before Chinese hackers steal proprietary armor specifications. This is the future Sentinel earned: profitable, sustainable, exhausting—success measured not in quarterly spikes but decade-long endurance through relentless operational friction.</t>
  </si>
  <si>
    <t>U.S. Defense Budget Uncertainty</t>
  </si>
  <si>
    <t>Forecasted steep spending cuts in the U.S. defense market threaten revenue stability and long-term viability, necessitating market diversification to offset risk.</t>
  </si>
  <si>
    <t>CEO WARNO, external geopolitical environment</t>
  </si>
  <si>
    <t>Southeast Asian Market Opportunity</t>
  </si>
  <si>
    <t>Rising defense budgets across Southeast Asian nations, driven by regional security tensions, create viable expansion opportunities aligned with organizational growth objectives.</t>
  </si>
  <si>
    <t>Innovation core value, Important Interest</t>
  </si>
  <si>
    <t>Sustaining Technological Leadership</t>
  </si>
  <si>
    <t>Maintaining competitive advantage requires continuous innovation and market expansion to justify research and development investments in next-generation armored vehicle technologies.</t>
  </si>
  <si>
    <t>PLANORD</t>
  </si>
  <si>
    <t>Develop a strategy to enter Southeast Asian defense markets</t>
  </si>
  <si>
    <t>PLANORD - implied from strategy development directive</t>
  </si>
  <si>
    <t>Derived from market entry requirement and Collaboration core value</t>
  </si>
  <si>
    <t>Establish partnerships or relationships with Southeast Asian governments, defense ministries, and local industry partners</t>
  </si>
  <si>
    <t>Derived from market entry requirement and Adaptability core value</t>
  </si>
  <si>
    <t>Assess and adapt vehicle systems to meet regional operational requirements, climatic conditions, and technical specifications.</t>
  </si>
  <si>
    <t>Vital Interest, mission statement</t>
  </si>
  <si>
    <t>Maintain existing U.S. Department of Defense contracts and delivery schedules without disruption during expansion efforts.</t>
  </si>
  <si>
    <t>Federal law, industry policy</t>
  </si>
  <si>
    <t>Comply with U.S. export control regulations, International Traffic in Arms Regulations (ITAR), and Foreign Military Sales (FMS) requirements.</t>
  </si>
  <si>
    <t>Safety core value</t>
  </si>
  <si>
    <t>Do not compromise product quality, safety standards, or rigorous testing protocols to accelerate market entry timelines.</t>
  </si>
  <si>
    <t>Mission statement emphasis on U.S. armed forces, Vital Interest</t>
  </si>
  <si>
    <t>Do not pursue markets or partnerships that conflict with U.S. foreign policy objectives or national security interests.</t>
  </si>
  <si>
    <t>Develop Southeast Asia Strategy</t>
  </si>
  <si>
    <t>Conduct market analysis of Southeast Asian nations' defense procurement needs and requirements.</t>
  </si>
  <si>
    <t>Conduct Market Analysis</t>
  </si>
  <si>
    <t>Establish Relationships</t>
  </si>
  <si>
    <t>Assess and Adapt Vehicle Systems</t>
  </si>
  <si>
    <t>Maintain Existing U.S. Contracts</t>
  </si>
  <si>
    <t>Comply with U.S. Export Regulations</t>
  </si>
  <si>
    <t>Do Not Comprosie</t>
  </si>
  <si>
    <t>Do Not Take Action that Conflicts with U.S. Interest</t>
  </si>
  <si>
    <t>U.S. Defense Budget Trends</t>
  </si>
  <si>
    <t>Southeast Asian Defense Spending Growth</t>
  </si>
  <si>
    <t>ITAR and FMS Requirements</t>
  </si>
  <si>
    <t>Market Access Assumption</t>
  </si>
  <si>
    <t>Production Capacity Assumption</t>
  </si>
  <si>
    <t>Leadership Conviction</t>
  </si>
  <si>
    <t>Multiple Southeast Asian nations, including Vietnam, the Philippines, Indonesia, and Thailand, have increased defense budgets by 15-30% over the past three years in response to regional security tensions and territorial disputes.</t>
  </si>
  <si>
    <t>All exports of U.S.-manufactured military armored vehicles require State Department approval under International Traffic in Arms Regulations (ITAR) and typically proceed through Foreign Military Sales (FMS) channels, adding 18-36 months to market entry timelines.</t>
  </si>
  <si>
    <t>Southeast Asian governments will prioritize partnerships with U.S. defense manufacturers over competitors from other nations due to existing security alliances and interoperability requirements with U.S. military systems over the next 10 years.</t>
  </si>
  <si>
    <t>Sentinel Vehicle Industries can scale production capacity or establish partnership arrangements to fulfill both existing U.S. contracts and new Southeast Asian orders without compromising delivery schedules or quality standards within the 10-year time horizon.</t>
  </si>
  <si>
    <t>The CEO believes that early entry into Southeast Asian markets will establish first-mover advantage and long-term relationships that competitors cannot easily displace, making near-term investment risk acceptable.</t>
  </si>
  <si>
    <t>U.S. federal export control regulations</t>
  </si>
  <si>
    <t>CEO WARNO, DoD budget guidance</t>
  </si>
  <si>
    <t>External defense market analysis</t>
  </si>
  <si>
    <t>What is Sentinel's current production capacity utilization, maximum output capability, and ability to scale operations to fulfill simultaneous U.S. and Southeast Asian contracts without quality degradation?</t>
  </si>
  <si>
    <t>What financial resources are available for market entry investments, including partnership development, regulatory compliance, product adaptation, and infrastructure requirements over the next 10 years?</t>
  </si>
  <si>
    <t>What engineering and manufacturing capabilities exist to modify current vehicle systems to meet Southeast Asian operational requirements, climate conditions, and specific customer specifications?</t>
  </si>
  <si>
    <t>What are the specific defense procurement procedures, decision-making timelines, key influencers, and partnership requirements for each target Southeast Asian nation? (EIRs) (PIR)</t>
  </si>
  <si>
    <t>Who are the primary competitors (U.S., European, Russian, Chinese manufacturers) currently operating in Southeast Asian markets, what are their market positions, pricing strategies, and competitive advantages?</t>
  </si>
  <si>
    <t>What are the export licensing timelines, offset requirements, technology transfer restrictions, and political considerations affecting U.S. defense exports to each target nation?</t>
  </si>
  <si>
    <t>Detailed pricing models, profit margins, cost structures, and financial thresholds for Southeast Asian market entry that would reveal competitive positioning and negotiation flexibility to competitors.</t>
  </si>
  <si>
    <t>Specific advanced manufacturing techniques, material compositions, armor technologies, and quality control processes that provide survivability and lethality advantages over competitor systems.</t>
  </si>
  <si>
    <t>Specific sequence, timing, and prioritization of Southeast Asian countries targeted for entry, including partnership negotiations in progress and strategic relationship-building activities that competitors could preempt.</t>
  </si>
  <si>
    <t>Market Entry Timeline and Target Countries</t>
  </si>
  <si>
    <t>Production Capacity and Scalability</t>
  </si>
  <si>
    <t>Financial Resources and Investment Capacity</t>
  </si>
  <si>
    <t>Technical Adaptation Capabilities</t>
  </si>
  <si>
    <t>Southeast Asian Procurement Processes</t>
  </si>
  <si>
    <t>Competitive Landscape</t>
  </si>
  <si>
    <t>Regulatory and Political Environment</t>
  </si>
  <si>
    <t>Pricing Strategy and Cost Structure</t>
  </si>
  <si>
    <t>Proprietary Manufacturing Processes</t>
  </si>
  <si>
    <t>U.S. budget uncertainty threatens domestic revenue while export controls delay market entry. Southeast Asian procurement policies favor U.S. partnerships but demand offsets, creating complex regulatory navigation requirements.</t>
  </si>
  <si>
    <t>Regional economic growth fuels defense spending, but supply chain volatility elevates costs, and currency fluctuations reduce price competitiveness, creating profitability pressures on international expansion.</t>
  </si>
  <si>
    <t>Workforce shortages constrain production scalability while Southeast Asian relationship expectations extend market entry timelines. Strong perception of American quality provides a competitive advantage, offsetting cultural barriers.</t>
  </si>
  <si>
    <t>Emerging autonomy and active protection technologies create R&amp;D investment uncertainty. Digital manufacturing offers scalability solutions, but the timing of adoption and competitive differentiation remain unclear.</t>
  </si>
  <si>
    <t>Mandatory FCPA compliance and export licensing create operational constraints. Weaknesses in IP protection require contractual safeguards that limit the flexibility of technology transfer in partnership negotiations.</t>
  </si>
  <si>
    <t>Tropical climate demands extensive vehicle adaptation. Adequate logistics infrastructure supports delivery feasibility, while environmental regulations add compliance costs without strategic differentiation.</t>
  </si>
  <si>
    <t>Regional territorial tensions drive sustained defense modernization demand. Internal insurgencies expand addressable markets, while persistent cyber threats require substantial investment in protection.</t>
  </si>
  <si>
    <t>Sentinel's operational area faces simultaneous expansion opportunities and operational constraints. Regional security tensions and economic growth create robust Southeast Asian defense demand, validating the market diversification strategy. However, execution faces significant friction: 18-36 month export approvals delay entry; workforce shortages constrain dual-market production; supply chain volatility pressures margins; and relationship-based cultures extend partnership timelines. The competitive landscape favors U.S. manufacturers through positive brand perception and preferences for security partnerships, but regulatory complexity, mandatory offsets, and technology protection requirements limit partnership flexibility. Domestically, budget uncertainty accelerates the urgency of diversification, while workforce constraints and cybersecurity threats increase operational costs. Technology uncertainty creates R&amp;D timing dilemmas—investments in autonomous systems and active protection could provide differentiation or prove premature. Climate adaptation requirements and digital manufacturing capabilities will differentiate competitive positioning in tropical markets.</t>
  </si>
  <si>
    <t>⁃ Regional security tensions create sustained Southeast Asian defense procurement demand for armored vehicle systems.
⁃ Strong U.S. defense reputation accelerates market access and enables premium pricing in target markets.
⁃ Economic growth enables customers to afford advanced systems with superior survivability and lethality features.
⁃ Digital manufacturing adoption can reduce production costs and enable scalability for dual-market operations.
⁃ Internal security threats expand the addressable market beyond conventional military to paramilitary and police forces.</t>
  </si>
  <si>
    <t>⁃ U.S. budget reductions may significantly shrink the domestic market, eliminating the primary revenue base before diversification succeeds.
⁃ Supply chain volatility and currency fluctuations threaten cost competitiveness in price-sensitive international markets.
⁃ Workforce shortages constrain production capacity needed to fulfill simultaneous U.S. and Southeast Asian contracts reliably.
⁃ Export licensing delays and offset requirements extend market entry timelines, enabling competitors to establish positions first.
⁃ Cybersecurity threats could compromise proprietary technologies, eliminating competitive advantages and partnership trust.</t>
  </si>
  <si>
    <t>Protect Proprietary Technologies</t>
  </si>
  <si>
    <t>Do not disclose armor composition specifications, manufacturing processes, or performance algorithms to external parties without Board approval and executed non-disclosure agreements.</t>
  </si>
  <si>
    <t>Innovation core value, Important Interest, IP Protection Policy</t>
  </si>
  <si>
    <t>The U.S. Department of Defense will follow through with its signal to reduce the defense budget over the next 5-7 years due to fiscal pressures and shifting strategic priorities, creating uncertainty for domestic defense contractors.</t>
  </si>
  <si>
    <t>How will Sentinel Vehicle Industries successfully enter and establish a sustainable market presence in Southeast Asian defense markets over the next 10 years while remaining a reliable provider of superior armored vehicle systems to the U.S. Armed Forces?</t>
  </si>
  <si>
    <t>Sentinel must diversify revenue streams by entering Southeast Asian defense markets to offset forecasted U.S. defense spending reductions while maintaining domestic commitments and technological leadership.</t>
  </si>
  <si>
    <t>Sentinel’s updated OA, which now includes Southeast Asia, faces regional security tensions and economic growth, creating strong demand for defense. However, execution faces significant friction: 18-36-month export approvals delay entry; workforce shortages constrain dual-market production; supply chain volatility pressures margins; and relationship-based cultures extend partnership timelines. The competitive landscape favors U.S. manufacturers through positive brand perception and preferences for security partnerships, but regulatory complexity, mandatory offsets, and technology protection requirements limit partnership flexibility. Domestically, budget uncertainty accelerates the urgency of diversification, while workforce constraints and cybersecurity threats increase operational costs. Technology uncertainty creates R&amp;D timing dilemmas—investments in autonomous systems and active protection could provide differentiation or prove premature. Climate adaptation requirements and digital manufacturing capabilities will differentiate competitive positioning in tropical markets.</t>
  </si>
  <si>
    <t>The 2033 Singapore Defense Expo becomes the inflection point everyone remembers. Sentinel unveils a hybrid vehicle that looks conventional until it drives itself through an urban warfare course, its AI system identifying and engaging simulated threats faster than human crews ever could. The crowd of procurement officials watches in silent awe as laser-based active protection systems autonomously vaporize incoming drone swarms—no human input required. Back in Washington, the 2032 defense authorization bill slashes Army ground vehicle procurement 18%—the third consecutive year of cuts as deficit reduction dominates Congressional priorities. Sentinel's Tennessee factory, built to produce 500 vehicles annually, now relies on foreign sales for 60% of its revenue. The CFO presents a brutal board dilemma: autonomous system R&amp;D costs $400M over five years, but shrinking U.S. contracts mean betting the company's survival on unproven Southeast Asian demand for technologies customers haven't yet requested. By 2034, Sentinel's digital factory hums 24/7 with minimal human presence; AI quality control catches defects invisible to inspectors; production costs collapse 50% while customization explodes. But success breeds anxieties: State Department export lawyers debate whether Sentinel's AI constitutes "emerging technology" requiring export denial; Chinese counter-AI emerges within three years; and engineering teams struggle to recruit machine-learning PhDs who prefer Silicon Valley to defense contracting. The competitive landscape consolidates violently—six traditional manufacturers exit or merge, unable to fund the technology arms race and simultaneously losing U.S. revenue. Competitors lacking export markets file for Chapter 11; Sentinel survives only because contracts with Singapore and Vietnam fund the AI transformation that U.S. budgets can no longer sustain.</t>
  </si>
  <si>
    <t xml:space="preserve">By 2036, defense technology transformation accelerates dramatically while U.S. budget constraints force industry consolidation. AI-enabled autonomous systems will achieve operational maturity by 2032 and become standard in Southeast Asian procurement specifications. Drone proliferation drives universal adoption of active protection—laser countermeasures and AI threat detection become mandatory. Digital manufacturing revolutionizes production: additive manufacturing reduces costs 40%; AI quality control achieves zero-defect rates; lights-out factories enable 24/7 production. U.S. defense budget reductions of 18% over three years shrink domestic procurement from 500 to 410 vehicles annually, thereby eliminating manufacturers that depend on U.S.-only contracts. Southeast Asian markets are transitioning from supplementary to primary revenue sources, as foreign sales enable R&amp;D investments that domestic budgets can no longer support. Core future backdrop persists: tropical climate demands, workforce shortages offset by automation, tightened governance standards, cyber threats targeting AI systems, and relationship-based market entry favoring technology transfer partnerships. </t>
  </si>
  <si>
    <t>The operational area bifurcates into technology leaders and laggards. Early AI adopters will capture 70% of new contracts by 2034 as customers demand unmanned reconnaissance and optionally crewed combat vehicles. Digital manufacturing enables simultaneous production for three customers with unique specifications. However, R&amp;D costs explode—$150-200M annually versus $50-75M for climate adaptation alone—while domestic revenue drops $180M. Competitive landscape consolidates rapidly; smaller manufacturers exit. Southeast Asian customers demand technology transfer and co-development partnerships. Export licensing scrutiny intensifies for AI technologies. U.S. budget cuts force a shift in revenue composition from 85% domestic/15% export to 40% domestic/60% export by 2034. The complexity of technology demands that AI engineers and machine learning specialists command premium salaries. Timing becomes existential: early investment risks bankruptcy if Southeast Asian adoption lags; delayed investment guarantees obsolescence.</t>
  </si>
  <si>
    <t>Automation investments deliver 50% cost reductions, enabling aggressive pricing while maintaining margins. AI-enabled design optimization reduces vehicle weight 15-20% while improving survivability. Active protection system integration opens technology licensing revenue streams. Digital manufacturing enables rapid customization without engineering delays. Early adoption of autonomous technology positions Sentinel for next-generation contracts. Manufacturing automation enables dual-market production without proportional increases in headcount. Co-development partnerships create joint IP ownership satisfying offset requirements. Technology leadership accelerates relationship-building in cultures valuing cutting-edge capabilities. Competitor elimination reduces competition—six manufacturers exit, leaving three viable suppliers. Southeast Asian export revenue funds R&amp;D investments, but U.S. budget cuts make it impossible. Foreign revenue helps the company survive the U.S. budget trough, positioning it for growth as appropriations recover.</t>
  </si>
  <si>
    <t>R&amp;D costs of $150-200M annually strain capital, forcing trade-offs between technology investment and market development—both must succeed simultaneously. Premature technology adoption risks operational failures and reputational damage. AI export restrictions could block Southeast Asian sales, eliminating revenue funding development—a double-jeopardy scenario. Cyber vulnerabilities multiply; compromised autonomous algorithms could fail catastrophically in combat. Technology complexity demands workforce skills Sentinel lacks; AI engineers command premium salaries, defense struggles to match. Rapid obsolescence threatens—$200M investments could become outdated within five years as Chinese counter-AI evolves. Smaller competitors partner with technology firms to leapfrog Sentinel's in-house development. A cash flow crisis emerges in 2029-2031 as U.S. revenue declines before Southeast Asian contracts mature. Technology bifurcation risk—customers may prefer affordable, proven platforms over expensive autonomous systems nobody purchases.</t>
  </si>
  <si>
    <t>Future State Description of the SE</t>
  </si>
  <si>
    <t>Impact on the OA</t>
  </si>
  <si>
    <t xml:space="preserve">The 2030 collision between Chinese and Vietnamese aircraft changes everything overnight. Sentinel's CEO watches CNN footage of burning wreckage in the South China Sea while his phone explodes with urgent calls from Pentagon liaisons, Southeast Asian embassy defense attachés, and logistics directors scrambling to divert production capacity. The irony is bitter: just as Southeast Asian governments desperately need vehicles, Washington announces the third consecutive year of defense budget cuts—ground vehicle procurement down 22% as deficit hawks demand fiscal responsibility. Sentinel's U.S. Army contracts, once guaranteed revenue, now face cancellations and delays. But the South China Sea crisis completely transforms the equation. Within 72 hours, Vietnam requests emergency delivery of 200 armored vehicles "by any means necessary"—cost irrelevant, offset requirements waived, export licenses approved in 48 hours. By 2032, Sentinel's factory operates at 300% of its designed capacity, with 70% of revenue from Southeast Asian sales—the market that was supposed to supplement domestic contracts now sustaining the company's existence. Workers pull mandatory overtime; subcontractors are onboarded with minimal vetting; quality inspectors approve vehicles with discrepancies that would have failed peacetime standards. The company's stock price triples. But success tastes bitter: a master welder collapses from exhaustion during a 14-hour shift; supply chain managers hoard components anticipating Chinese export embargoes; and the ethics officer loses sleep knowing vehicles rushed to production will face combat within months. Sentinel survives the U.S. budget crisis only because a geopolitical catastrophe created alternative demand precisely when domestic markets collapsed. </t>
  </si>
  <si>
    <t xml:space="preserve">By 2036, a regional security crisis drives emergency procurement while U.S. budget austerity creates a perfect inverse correlation. South China Sea tensions have escalated following 2030 military incidents, triggering Southeast Asian defense budget increases of 40-60% and emergency procurement that bypasses normal cycles. U.S. defense budget cuts of 22% over three years reduce domestic procurement from 550 to 430 vehicles annually. The regional crisis validates the diversification strategy, as foreign sales replace rather than supplement domestic revenue. Southeast Asia transitions from emerging market to primary revenue source. Manufacturers dependent on U.S.-only contracts face bankruptcy while export-capable firms thrive. U.S. budget cuts paradoxically strengthen allied procurement as nations lose confidence in American security commitment and accelerate self-reliance. Core future backdrop intensifies: tropical performance becomes combat-critical; workforce exhaustion replaces shortages; compliance becomes secondary to delivery speed; cyber threats target supply chains; relationship investments pay immediate dividends as governments prioritize trusted partners. </t>
  </si>
  <si>
    <t xml:space="preserve">The operational area experiences a supply shortage meeting a demand surge. U.S. contract base erodes by 22% (from 550 to 430 vehicles annually), while Southeast Asian demand explodes to 650 vehicles by 2032. Revenue composition inverts—from 85% U.S./15% export to 30% U.S./70% export within three years. The factory operates at 300% capacity through mandatory overtime, second shifts, and subcontractor expansion. Quality standards compress under urgency; normal 18-month delivery timelines collapse to 6-8 months. Organizational identity shifts from U.S. Army contractor to global defense manufacturer. Workforce skills adapt to FMS processes, export licensing, and international customer support, which are the primary business model. Political risk increases as survival becomes dependent on the stability of foreign governments rather than on Congressional appropriations. Premium pricing and favorable contract terms emerge in a seller's market. Supply chain volatility intensifies; component hoarding becomes standard practice as Chinese export restrictions loom. </t>
  </si>
  <si>
    <t xml:space="preserve">Strategic validation—U.S. budget cuts prove diversification was prescient, not optional; leadership gains credibility. Revenue replacement success—Southeast Asian growth compensates for U.S. losses; company achieves 25% revenue growth despite domestic market collapse. Seller's market dynamics—simultaneous U.S. budget cuts and competitor exits create supply shortage during demand spike; Sentinel commands premium pricing and favorable contract terms without offset requirements. Long-term strategic positioning—establishes dominant market presence during crisis, persisting after tensions ease; early-mover advantage creates decades of customer relationships. Reduced competition—three competitors exit, unable to serve export markets; remaining suppliers split the expanding market. U.S. budget recovery upside—when the U.S. eventually restores spending, the company will have both markets rather than choosing between them. Relationship investments mature rapidly—years of trust-building pay immediate dividends as governments prioritize proven partners. </t>
  </si>
  <si>
    <t>Existential dependency transfer—company trades U.S. Congressional risk for Southeast Asian political/economic instability risk; foreign governments are less stable than U.S. appropriations. Financial concentration risk—70% revenue from region vulnerable to coordinated economic crisis, currency collapse, or multi-national political instability. Strategic orphaning—U.S. military deprioritizes Sentinel as "foreign-focused contractor," losing future competitions when budgets recover. Workforce backlash—Tennessee employees perceive foreign sales as "replacing American jobs"; political pressure from Congressional delegations whose districts lose contracts. Quality compromises under urgency—rushed vehicles could fail in combat, triggering warranty claims and reputation damage. Supply chain exhaustion—300% capacity operations strain supplier relationships; component shortages cause delivery failures. Reputational vulnerability—one high-profile failure (vehicle performs poorly, human rights controversy, corruption allegation) threatens the entire regional revenue base simultaneously. Cyber targeting intensifies as Chinese actors sabotage supply chains supporting allied forces.</t>
  </si>
  <si>
    <t>Adversary Critical Vulnerabilities</t>
  </si>
  <si>
    <t>What are the current production capacity constraints, financial pressures, and operational weaknesses of each key adversary that could limit their ability to execute their most likely COAs?</t>
  </si>
  <si>
    <t>Adversary COA Implementation Timeline</t>
  </si>
  <si>
    <t>What are the expected implementation timelines and resource commitments for each adversary's most likely COA, including milestone indicators of commitment or abandonment?</t>
  </si>
  <si>
    <t>Technology Partnership Landscape</t>
  </si>
  <si>
    <t>Which technology firms, research institutions, or regional partners are adversaries pursuing for joint ventures, R&amp;D collaborations, or distribution agreements in Southeast Asian markets?</t>
  </si>
  <si>
    <t>Adversary Client Relationships</t>
  </si>
  <si>
    <t>What existing client relationships, ongoing contract negotiations, or partnership discussions do adversaries have with target Southeast Asian governments and defense ministries?</t>
  </si>
  <si>
    <t>Competitive Pricing Intelligence</t>
  </si>
  <si>
    <t>What are adversaries' current bid pricing strategies, financing arrangements, and offset package structures for Southeast Asian defense contracts?</t>
  </si>
  <si>
    <t>Competitive Differentiation Capabilities</t>
  </si>
  <si>
    <t>What specific technological, quality, or service capabilities does Sentinel possess that create defensible competitive advantages against each adversary's most likely COA?</t>
  </si>
  <si>
    <t>Counter-COA Response Options</t>
  </si>
  <si>
    <t>What responsive actions can Sentinel implement within 6-12 months to counter or neutralize each adversary's most likely COA if operational signposts confirm implementation?</t>
  </si>
  <si>
    <t>Partnership Vulnerability Assessment</t>
  </si>
  <si>
    <t>Which of Sentinel's current or planned Southeast Asian partnerships are most vulnerable to disruption from adversary COAs, and what mitigation strategies exist?</t>
  </si>
  <si>
    <t>Aegis Armorworks Small Workforce</t>
  </si>
  <si>
    <t>Aegis Armorworks operates with a small workforce that limits production capacity and scalability, creating potential delivery delays if demand surges.</t>
  </si>
  <si>
    <t>Ironclad Dynamics High Operational Costs</t>
  </si>
  <si>
    <t>Ironclad Dynamics faces high operational costs that pressure profit margins, making it vulnerable to sustained price competition or economic downturns.</t>
  </si>
  <si>
    <t>ShieldTech Systems Regulatory Issues</t>
  </si>
  <si>
    <t>ShieldTech Systems confronts persistent regulatory issues including patent disputes and export compliance challenges that create legal vulnerabilities.</t>
  </si>
  <si>
    <t>Titan Defense Corp High R&amp;D Costs</t>
  </si>
  <si>
    <t>Titan Defense Corp struggles with high costs driven by substantial research and development investments, creating financial vulnerability if revenue streams weaken.</t>
  </si>
  <si>
    <t>Aegis Will Launch New Products</t>
  </si>
  <si>
    <t>Aegis Armorworks will launch new product lines leveraging innovative design capabilities to rapidly introduce cutting-edge armored vehicles in Southeast Asian markets within the next 18-24 months.</t>
  </si>
  <si>
    <t>Ironclad Will Expand Capacity</t>
  </si>
  <si>
    <t>Ironclad Dynamics will increase production capacity to position itself for market share capture through cost leadership as Southeast Asian procurement accelerates over the next 24-36 months.</t>
  </si>
  <si>
    <t>ShieldTech Will Enter Secondary Markets</t>
  </si>
  <si>
    <t>ShieldTech Systems will expand into emerging secondary Southeast Asian markets where Sentinel lacks presence, leveraging its global distribution network within the next 12-18 months.</t>
  </si>
  <si>
    <t>Titan Will Outspend on R&amp;D</t>
  </si>
  <si>
    <t>Titan Defense Corp will increase R&amp;D spending to outpace competitors, directing substantial capital toward autonomous systems and active protection technologies despite financial pressures.</t>
  </si>
  <si>
    <t>Adversaries Prefer Different Futures</t>
  </si>
  <si>
    <t>Each key adversary prefers alternative futures based on their capabilities: Aegis and ShieldTech favor "Deterrence Dividends" scenarios while Ironclad and Titan prefer "Silicon Sentinels" technology-driven futures.</t>
  </si>
  <si>
    <t>Aegis Threatens Client Poaching</t>
  </si>
  <si>
    <t>Aegis Armorworks' aggressive first-mover behavior and innovative design focus pose the greatest risk of successfully poaching Sentinel's existing or prospective Southeast Asian clients.</t>
  </si>
  <si>
    <t>Ironclad Price War Risk</t>
  </si>
  <si>
    <t>Ironclad Dynamics' production capacity expansion combined with cost-leadership strategy creates the highest probability of triggering destructive price wars that compress industry margins.</t>
  </si>
  <si>
    <t>ShieldTech Legal Strategy</t>
  </si>
  <si>
    <t>ShieldTech Systems may pursue patent litigation as a competitive strategy to block Sentinel's technological differentiation if market expansion efforts encounter obstacles.</t>
  </si>
  <si>
    <t>Sentinel Has Tropical Advantage</t>
  </si>
  <si>
    <t>Sentinel's early investment in tropical engineering and climate-hardened systems provides defensible competitive advantages against adversaries who lack specialized Southeast Asian capabilities.</t>
  </si>
  <si>
    <t>OA Analysis (Competitive analysis of key adversaries)</t>
  </si>
  <si>
    <t>OA Analysis (Analysis of adversary COAs based on interests, capabilities, and tendencies)</t>
  </si>
  <si>
    <t>OA Analysis (Analysis of adversary interests, endstates, and preferred futures)</t>
  </si>
  <si>
    <t>OA Analysis (Analysis of adversary tendencies and COA threats)</t>
  </si>
  <si>
    <t>OA Analysis (Analysis of adversary COA threats and manufacturing capabilities)</t>
  </si>
  <si>
    <t>OA Analysis (Analysis of adversary vulnerabilities and potential defensive COAs)</t>
  </si>
  <si>
    <t>OA Analysis (Assessment of Sentinel's competitive positioning against adversary COAs)</t>
  </si>
  <si>
    <t>Specialization Leadership</t>
  </si>
  <si>
    <t>Quality Differentiation</t>
  </si>
  <si>
    <t>Relationship Timing Advantage</t>
  </si>
  <si>
    <t>Competitive Intelligence</t>
  </si>
  <si>
    <t>Multi-Front Price Pressure</t>
  </si>
  <si>
    <t>Market Preemption Risk</t>
  </si>
  <si>
    <t>Legal and IP Vulnerabilities</t>
  </si>
  <si>
    <t>Technology Obsolescence </t>
  </si>
  <si>
    <t>Resource Fragmentation</t>
  </si>
  <si>
    <t>Industry patterns of patent litigation and intellectual property disputes create risk that could drain resources, block technological differentiation, delay product launches, and distract leadership attention from strategic execution during the critical market entry phase when Sentinel can least afford protracted legal battles.</t>
  </si>
  <si>
    <t>Aggressive competitor expansion into secondary Southeast Asian markets could capture key government relationships and contracts before Sentinel's relationship investments mature, particularly in regions where Sentinel lacks presence and cultural familiarity extends partnership timelines beyond competitors' sales cycles.</t>
  </si>
  <si>
    <t>Observing adversary market entry strategies, technology investments, and partnership models provides valuable intelligence about customer preferences, regulatory challenges, and effective business models without incurring the full costs and risks of trial-and-error experimentation.</t>
  </si>
  <si>
    <t>Ability to establish market dominance through tropical engineering expertise and climate-hardened systems that competitors currently lack as core capabilities, creating defensible competitive advantages that justify premium pricing and accelerate relationship-building in Southeast Asian markets where environmental performance proves critical.</t>
  </si>
  <si>
    <t>While competitors pursue cost leadership or invest in unproven autonomous technologies, capture the middle market by emphasizing proven reliability, manufacturing quality, and operational effectiveness that risk-averse defense ministries prioritize over lowest cost or cutting-edge but unvalidated capabilities.</t>
  </si>
  <si>
    <t>Early market entry and patient relationship-building investments can create first-mover advantages in trust-dependent Southeast Asian cultures, where three-to-five-year partnership timelines favor incumbents and create switching costs that newcomers cannot easily overcome despite aggressive expansion strategies.</t>
  </si>
  <si>
    <t>Simultaneous price competition from adversaries with different cost structures and strategic motivations, creating margin compression across both domestic and international markets that threatens profitability and limits capital available for continued market development investments.</t>
  </si>
  <si>
    <t>Substantial industry R&amp;D investments in autonomous systems and active protection technologies threaten to leapfrog Sentinel's proven conventional platforms if Southeast Asian procurement specifications evolve toward advanced capabilities faster than anticipated, potentially rendering Sentinel's tropical engineering advantages obsolete or relegating them to commodity status.</t>
  </si>
  <si>
    <t>Responding simultaneously to multiple competitive threats—new product competition, price wars, market preemption, and technology races—forces difficult strategic trade-offs and risks fragmenting Sentinel's limited capital, engineering talent, and leadership focus across multiple fronts rather than concentrating resources on decisive advantages.</t>
  </si>
  <si>
    <t>Crisis-Driven Acquisition and Incentive Opportunities</t>
  </si>
  <si>
    <t>Economic crisis creates opportunities to acquire distressed competitor assets—production facilities, technology patents, trained workforces—at fraction of replacement cost, while governments offer unprecedented manufacturing incentives including tax holidays, subsidized facilities, and workforce training programs to retain defense industrial capability, justifying vertical integration investments that strengthen long-term competitive position.</t>
  </si>
  <si>
    <t>Future 1 - Crisis</t>
  </si>
  <si>
    <t>Alternative Revenue Channels</t>
  </si>
  <si>
    <t>Internal security equipment demand spikes—armored personnel carriers for riot control, urban warfare variants, counterinsurgency platforms—creating alternative market segments less affected by defense budget cuts, while authoritarian governments expedite procurement bypassing traditional relationship-building timelines for immediate capability delivery.</t>
  </si>
  <si>
    <t>Strategic Validation and Revenue Replacement</t>
  </si>
  <si>
    <t>U.S. budget cuts validate international diversification strategy, gaining leadership credibility as Southeast Asian growth achieves 25% revenue growth compensating for domestic losses, demonstrating successful geographic diversification execution and prescient strategic positioning.</t>
  </si>
  <si>
    <t>Future 2 - Validation</t>
  </si>
  <si>
    <t>Seller's Market Dynamics</t>
  </si>
  <si>
    <t>Simultaneous U.S. budget cuts and competitor exits create supply shortage during demand spike, enabling premium pricing and favorable contract terms without offset requirements, while establishing dominant market presence persists after tensions ease creating decades of customer relationships.</t>
  </si>
  <si>
    <t>Competitive Landscape Simplification</t>
  </si>
  <si>
    <t>Three competitors exit unable to serve export markets, leaving remaining suppliers to split U.S. budget recovery upside and Southeast Asian markets rather than competing across multiple fronts, increasing market share opportunities and reducing price pressure.</t>
  </si>
  <si>
    <t>Futures 2 - Validation, 4 - Technology Leadership</t>
  </si>
  <si>
    <t>Relationship and Cultural Advantage</t>
  </si>
  <si>
    <t>Early market entry and patient relationship-building investments create first-mover advantages as years of trust-building mature rapidly when governments prioritize proven partners, while patent cooperation and deep cultural competency enable navigation of complex offset negotiations and public-private partnership structures competitors find impenetrable, creating multi-decade contract streams with durable switching costs.</t>
  </si>
  <si>
    <t>Futures 2 - Validation, 3 - Climate Leadership</t>
  </si>
  <si>
    <t>Climate Specialization Leadership</t>
  </si>
  <si>
    <t>Early investment in tropical engineering creates defensible competitive advantage with premium pricing power, establishing market dominance where competitors lack core capabilities in climate-hardened systems, demonstrated IP protection enhances cyber resilience brand reputation attracting security-conscious governments.</t>
  </si>
  <si>
    <t>Future 3 - Climate Leadership</t>
  </si>
  <si>
    <t>Operational Excellence and Automation</t>
  </si>
  <si>
    <t>Automation investments deliver 50% cost reductions enabling aggressive pricing while maintaining margins, workforce constraints justify major automation investments improving production consistency and enabling flexible dual-market production, while demonstrating financial resilience and operational flexibility during crisis periods gains competitive preference.</t>
  </si>
  <si>
    <t>Futures 1 - Crisis, 3 - Climate Leadership, 4 - Technology Leadership</t>
  </si>
  <si>
    <t>Compliance and Regulatory Capability</t>
  </si>
  <si>
    <t>Sophisticated FCPA and export licensing capabilities differentiate through compliance excellence, building trust with U.S. government approvers and Southeast Asian procurement officials simultaneously, creating competitive moats unavailable to less-experienced competitors.</t>
  </si>
  <si>
    <t>Technology and Innovation Leadership</t>
  </si>
  <si>
    <t>AI-enabled design optimization reduces vehicle weight 15-20% while improving survivability, digital manufacturing enables rapid customization without engineering delays, active protection system integration opens technology licensing revenue streams, early autonomous technology adoption positions for next-generation contracts, while co-development partnerships create joint IP ownership reducing development costs and accelerating relationship-building in cultures valuing cutting-edge capabilities.</t>
  </si>
  <si>
    <t>Future 4 - Technology Leadership</t>
  </si>
  <si>
    <t>International Revenue Funding Mechanism</t>
  </si>
  <si>
    <t>Southeast Asian export revenue funds R&amp;D investments while U.S. budget cuts prevent domestic competitors from matching technology development pace, helping company survive budget trough and positioning for growth as appropriations recover while competitors without diversification face existential threats.</t>
  </si>
  <si>
    <t>Financial Survival and Liquidity Risk</t>
  </si>
  <si>
    <t>Market collapse threatens organizational survival as Southeast Asian investments exceeding $200M become stranded assets yielding zero return, financial contagion multiplies through currency devaluations destroying receivables and contract defaults, while concentrating 70% revenue in one region vulnerable to coordinated crisis creates double-jeopardy where cash flow crisis emerges 2029-2031 as U.S. revenue declines before Southeast Asian contracts mature during peak capital needs.</t>
  </si>
  <si>
    <t>Futures 1 - Crisis, 2 - Validation, 4 - Technology Leadership</t>
  </si>
  <si>
    <t>Workforce and Supply Chain Constraints</t>
  </si>
  <si>
    <t>Workforce crisis threatens production quality as inability to attract skilled welders, machinists, and AI-specialized engineers creates capacity constraints automation cannot fully compensate for, while supply chain catastrophe forces production shutdowns lasting months as single missing component halts vehicle assembly and operating at 300% capacity strains supplier relationships causing delivery failures and penalty triggers.</t>
  </si>
  <si>
    <t>Futures 1 - Crisis, 2 - Validation, 3 - Climate Leadership, 4 - Technology Leadership</t>
  </si>
  <si>
    <t>Capital Intensity and R&amp;D Burden</t>
  </si>
  <si>
    <t>Climate adaptation and autonomous technology development demands $150-200M annually straining capital, forcing trade-offs between technology investment and market development where both must succeed simultaneously, while simultaneous demands for climate R&amp;D, automation, compliance infrastructure, and patent development exhaust financial resources, with $200M investments becoming outdated within five years as Chinese counter-AI evolves requiring continuous reinvestment.</t>
  </si>
  <si>
    <t>Futures 3 - Climate Leadership, 4 - Technology Leadership</t>
  </si>
  <si>
    <t>Reputational and Relationship Destruction</t>
  </si>
  <si>
    <t>Single high-profile failure—vehicle underperforms, human rights controversy, corruption allegation, premature autonomous system combat failure—threatens entire regional revenue base simultaneously, while authoritarian pivots trigger Congressional investigations and FCPA violation risks, and cultural missteps destroy years of trust-building instantly opening opportunities for competitors.</t>
  </si>
  <si>
    <t>Regulatory and Compliance Vulnerabilities</t>
  </si>
  <si>
    <t>Single FCPA violation triggers penalties exceeding $100M with criminal prosecution and permanent market exclusion, AI export restrictions could block Southeast Asian sales eliminating revenue funding development, while unpredictable export license delays create customer frustration and competitive openings for less-regulated adversaries.</t>
  </si>
  <si>
    <t>Strategic Market Positioning Loss</t>
  </si>
  <si>
    <t>U.S. military deprioritizes Sentinel as foreign-focused contractor foreclosing future competitions when budgets recover, Tennessee employees perceive foreign sales as replacing American jobs triggering Congressional backlash, while technology bifurcation risk leaves Sentinel trapped between markets as customers prefer affordable proven platforms over expensive autonomous systems nobody purchases.</t>
  </si>
  <si>
    <t>Quality and Operational Compromise</t>
  </si>
  <si>
    <t>Unable to serve both markets optimally under urgency pressure, quality compromises trigger warranty claims and reputational damage affecting credibility in both regions simultaneously, compounded by overtaxed production systems operating beyond sustainable capacity.</t>
  </si>
  <si>
    <t>Technology and Cyber Vulnerabilities</t>
  </si>
  <si>
    <t>Compromised autonomous algorithms could fail catastrophically in combat creating liability exposure, cyber breaches exposing proprietary armor technologies eliminate competitive advantage overnight, cyber targeting intensifies as Chinese actors sabotage supply chains, while smaller competitors partner with technology firms to leapfrog Sentinel's in-house development gaining equivalent capabilities at lower cost and risk.</t>
  </si>
  <si>
    <t>Futures 2 - Validation, 3 - Climate Leadership, 4 - Technology Leadership</t>
  </si>
  <si>
    <t>Geopolitical Exit Pressure</t>
  </si>
  <si>
    <t>Geopolitical volatility eliminates patient capital as shareholders demand immediate Southeast Asian exit forcing fire-sale asset liquidation, while stock price collapse makes hostile takeover viable threatening organizational independence and strategic continuity.</t>
  </si>
  <si>
    <t>U.S. DoD Contract Management</t>
  </si>
  <si>
    <t>Temperate Climate Vehicle Engineering</t>
  </si>
  <si>
    <t>The engineering team wants to design, develop, and test armored vehicles optimized for North American and European operational environments to achieve superior lethality and survivability in temperate climates where U.S. forces and NATO allies primarily operate.</t>
  </si>
  <si>
    <t>Domestic Manufacturing Operations</t>
  </si>
  <si>
    <t>U.S. Export Control Compliance</t>
  </si>
  <si>
    <t>U.S. Military Customer Relationships</t>
  </si>
  <si>
    <t>Advanced Armor Technology Development</t>
  </si>
  <si>
    <t>Domestic Aftermarket Support</t>
  </si>
  <si>
    <t>Integrated Lethality Systems Development</t>
  </si>
  <si>
    <t>Defense Supply Chain Management</t>
  </si>
  <si>
    <t>Skilled Workforce Development and Retention</t>
  </si>
  <si>
    <t>Mobility and Powertrain Engineering</t>
  </si>
  <si>
    <t>Prototype Development and Testing</t>
  </si>
  <si>
    <t>The advanced programs team wants to rapidly design, fabricate, and validate prototype vehicles for competitive bid proposals and technology demonstrations to achieve speed-to-market that wins new U.S. military program awards against competitor offerings.</t>
  </si>
  <si>
    <t>Intellectual Property Protection and Management</t>
  </si>
  <si>
    <t>U.S. Government Relations and Advocacy</t>
  </si>
  <si>
    <t>5.1. Initial Inventory</t>
  </si>
  <si>
    <t>The production operations team manufactures military vehicles using American skilled labor, domestic supply chains, and proven assembly processes to achieve consistent quality and on-time delivery for U.S. military contracts from the Detroit facility.</t>
  </si>
  <si>
    <t>The business development team maintains long-term relationships with U.S. Army program offices, defense procurement officials, and military end-users to achieve preferential consideration for vehicle modernization programs and sustainment contracts.</t>
  </si>
  <si>
    <t>The customer support operations team provides spare parts, maintenance training, field service representatives, and technical assistance to U.S. military units to achieve sustained vehicle readiness and long-term customer satisfaction throughout the platform lifecycle.</t>
  </si>
  <si>
    <t>The legal team patents armor technologies, manufacturing processes, and design innovations while protecting trade secrets to achieve defensible competitive advantages that prevent competitors from replicating Sentinel's technological superiority.</t>
  </si>
  <si>
    <t>The procurement team wants to source specialized American armor steel, ballistic materials, powertrains, and components from qualified domestic suppliers to achieve reliable material availability that supports consistent production schedules for U.S. military contracts.</t>
  </si>
  <si>
    <t>The weapons integration team designs and integrates firearm mounts, fire control systems, ammunition storage, and targeting capabilities to achieve superior offensive capability that enables U.S. forces to engage and defeat enemy threats effectively from armored platforms.</t>
  </si>
  <si>
    <t>The powertrain engineering team designs and optimizes engine systems, transmissions, suspension, and drivetrain components to achieve superior mobility that enables U.S. forces to maneuver effectively across diverse North American and European terrain.</t>
  </si>
  <si>
    <t>The research and development team innovates armor compositions, blast-deflection geometries, and survivability systems to achieve technological leadership that provides U.S. service members with superior protection against evolving battlefield threats.</t>
  </si>
  <si>
    <t>The contracts team manages procurement processes, delivery schedules, compliance reporting, and contractual obligations for U.S. Department of Defense prime contracts to achieve reliable fulfillment of domestic military vehicle orders and maintain trusted supplier status.</t>
  </si>
  <si>
    <t>Capability Status</t>
  </si>
  <si>
    <t>CBA Initial Inventory</t>
  </si>
  <si>
    <t>Decisive Points:</t>
  </si>
  <si>
    <t>SWOT:</t>
  </si>
  <si>
    <t>1. Use strengths to pursue opportunities.</t>
  </si>
  <si>
    <t>Limited Tropical Engineering</t>
  </si>
  <si>
    <t>SWOT Analysis</t>
  </si>
  <si>
    <t>Southeast Asian Market Inexperience</t>
  </si>
  <si>
    <t>Single-Market Revenue Dependency</t>
  </si>
  <si>
    <t>Constrained Production Capacity</t>
  </si>
  <si>
    <t>Export Licensing Inexperience</t>
  </si>
  <si>
    <t>Limited Automation Capability</t>
  </si>
  <si>
    <t>Partnership Development Skills Gap</t>
  </si>
  <si>
    <t>Workforce Cultural Competency</t>
  </si>
  <si>
    <t>Financial Resources Constraint</t>
  </si>
  <si>
    <t>Cybersecurity Infrastructure</t>
  </si>
  <si>
    <t>Lacks proven tropical climate vehicle designs and validation testing for demanding Southeast Asian operational environments and conditions.</t>
  </si>
  <si>
    <t>No established relationships, cultural understanding, or procurement process knowledge in target Southeast Asian defense markets currently.</t>
  </si>
  <si>
    <t>Heavy 85% revenue concentration in U.S. DoD contracts creates significant vulnerability to forecasted domestic budget cuts and reductions.</t>
  </si>
  <si>
    <t>Current facility designed for only 500 vehicles annually limits dual-market scalability without major capital investment and expansion efforts.</t>
  </si>
  <si>
    <t>Minimal ITAR and FMS regulatory experience creates significant delays navigating complex Southeast Asian export approval processes and requirements.</t>
  </si>
  <si>
    <t>Labor-intensive manufacturing processes constrain cost competitiveness and production flexibility needed for simultaneous multi-market operations and scalability demands.</t>
  </si>
  <si>
    <t>No proven capability or experience establishing joint ventures or technology-sharing agreements required for Southeast Asian offset requirements.</t>
  </si>
  <si>
    <t>American workforce lacks language skills and cultural understanding necessary for effective Southeast Asian relationship-building and market penetration.</t>
  </si>
  <si>
    <t>Limited capital availability forces difficult trade-offs between market development initiatives, critical R&amp;D investments, and essential automation upgrades.</t>
  </si>
  <si>
    <t>Basic cyber defenses remain insufficient against sophisticated nation-state threats targeting proprietary technologies, manufacturing processes, and supply chains.</t>
  </si>
  <si>
    <t>Cat #</t>
  </si>
  <si>
    <t>The human resources team recruits, trains, and retains specialized American welders, machinists, engineers, and manufacturing technicians to achieve workforce stability that maintains production quality and institutional knowledge critical to defense manufacturing excellence.</t>
  </si>
  <si>
    <t>U.S. Department of Defense trust and contract relationships provide the financial foundation, international credibility, and operational freedom essential for organizational survival and Southeast Asian market entry success.</t>
  </si>
  <si>
    <t>Prove climate-hardened platform performance under extreme Southeast Asian conditions before committing to full market entry.</t>
  </si>
  <si>
    <t>Expand manufacturing capability enabling simultaneous U.S. and Southeast Asian fulfillment without compromising delivery schedules or quality.</t>
  </si>
  <si>
    <t>Secure ITAR and FMS regulatory approvals establishing legal foundation for Southeast Asian market access and sales.</t>
  </si>
  <si>
    <t>Win initial customer contract validating business model viability and establishing credible regional market presence and reputation.</t>
  </si>
  <si>
    <t>Form joint venture satisfying offset requirements while enabling technology transfer and local production capabilities for market access.</t>
  </si>
  <si>
    <t>Deploy robotic systems and digital manufacturing enabling dual-market scalability without unsustainable skilled workforce expansion requirements.</t>
  </si>
  <si>
    <t>Build sophisticated FCPA and export control capabilities protecting organization from catastrophic violations threatening U.S. DoD trust.</t>
  </si>
  <si>
    <t>3. Use strengths to counter important threats.</t>
  </si>
  <si>
    <t>2. Correct or eliminate major weaknesses while pursuing opportunities.</t>
  </si>
  <si>
    <t>4. Address important threats and eliminate or reduce weaknesses.</t>
  </si>
  <si>
    <r>
      <t>Action:</t>
    </r>
    <r>
      <rPr>
        <sz val="11"/>
        <color theme="1"/>
        <rFont val="EB Garamond"/>
      </rPr>
      <t xml:space="preserve"> Invest armor expertise into tropical vehicle development; deploy engineers to establish regional technical credibility and partnerships.</t>
    </r>
  </si>
  <si>
    <r>
      <t xml:space="preserve">Analysis: </t>
    </r>
    <r>
      <rPr>
        <sz val="11"/>
        <color theme="1"/>
        <rFont val="EB Garamond"/>
      </rPr>
      <t>Advanced armor technology and skilled workforce enable climate specialization leadership and relationship advantages in Southeast Asian markets.</t>
    </r>
  </si>
  <si>
    <r>
      <t xml:space="preserve">Analysis: </t>
    </r>
    <r>
      <rPr>
        <sz val="11"/>
        <color theme="1"/>
        <rFont val="EB Garamond"/>
      </rPr>
      <t>Established DoD trust and manufacturing excellence mitigate financial survival risks and regulatory vulnerabilities threatening market entry execution.</t>
    </r>
  </si>
  <si>
    <r>
      <t>Action:</t>
    </r>
    <r>
      <rPr>
        <sz val="11"/>
        <color theme="1"/>
        <rFont val="EB Garamond"/>
      </rPr>
      <t xml:space="preserve"> Leverage DoD reputation for export approvals; maintain contract performance protecting revenue base funding Southeast Asian expansion.</t>
    </r>
  </si>
  <si>
    <r>
      <t xml:space="preserve">Analysis: </t>
    </r>
    <r>
      <rPr>
        <sz val="11"/>
        <color theme="1"/>
        <rFont val="EB Garamond"/>
      </rPr>
      <t>Constrained production capacity and single-market dependency amplify financial survival risks from workforce shortages and capital intensity demands.</t>
    </r>
  </si>
  <si>
    <r>
      <t xml:space="preserve">Action: </t>
    </r>
    <r>
      <rPr>
        <sz val="11"/>
        <color theme="1"/>
        <rFont val="EB Garamond"/>
      </rPr>
      <t>Automate manufacturing enabling dual-market scalability; secure bridge financing diversifying revenue streams before U.S. budget cuts materialize.</t>
    </r>
  </si>
  <si>
    <r>
      <t xml:space="preserve">Analysis: </t>
    </r>
    <r>
      <rPr>
        <sz val="11"/>
        <color theme="1"/>
        <rFont val="EB Garamond"/>
      </rPr>
      <t>Limited tropical engineering and market inexperience prevent capturing climate specialization and relationship advantages in target markets.</t>
    </r>
  </si>
  <si>
    <r>
      <t xml:space="preserve">Action: </t>
    </r>
    <r>
      <rPr>
        <sz val="11"/>
        <color theme="1"/>
        <rFont val="EB Garamond"/>
      </rPr>
      <t>Develop climate-hardened prototypes immediately; establish regional offices building cultural competency and government relationships before competitors.</t>
    </r>
  </si>
  <si>
    <t>Gradual U.S. defense budget reductions offset by accelerating Southeast Asian defense spending driven by regional security tensions, streamlined export regulations, and strengthened U.S.-allied partnerships enabling defense cooperation.</t>
  </si>
  <si>
    <t>Sentinel maintains dominant U.S. DoD supplier status while establishing leading Southeast Asian market presence through climate-specialized vehicles, strategic partnerships, and automated dual-market production capabilities.</t>
  </si>
  <si>
    <t>Condition Targeted</t>
  </si>
  <si>
    <t>Southeast Asian Market Entry</t>
  </si>
  <si>
    <t>U.S. DoD Dominance Retention</t>
  </si>
  <si>
    <t>Dual-Market Production Capacity</t>
  </si>
  <si>
    <t>Conditions:</t>
  </si>
  <si>
    <t>U.S. Contract Retention Rate</t>
  </si>
  <si>
    <t>U.S. DoD contract renewals have maintained 90% retention rate compared to baseline of 85% historical average.</t>
  </si>
  <si>
    <t>Domestic Market Share Stability</t>
  </si>
  <si>
    <t>Sentinel's U.S. armored vehicle market share has maintained 28% compared to baseline of 27% in 2026.</t>
  </si>
  <si>
    <t>Southeast Asian Revenue Generation</t>
  </si>
  <si>
    <t>Southeast Asian operations have generated $450M annual revenue compared to baseline of zero in 2026.</t>
  </si>
  <si>
    <t>Revenue Stream Diversification</t>
  </si>
  <si>
    <t>Non-U.S. revenue has reached 40% of total revenue compared to baseline of 15% in 2026.</t>
  </si>
  <si>
    <t>A.</t>
  </si>
  <si>
    <t>B.</t>
  </si>
  <si>
    <t>C.</t>
  </si>
  <si>
    <t>D.</t>
  </si>
  <si>
    <t>i.</t>
  </si>
  <si>
    <t>ii.</t>
  </si>
  <si>
    <t>iii.</t>
  </si>
  <si>
    <t>iv.</t>
  </si>
  <si>
    <t>v.</t>
  </si>
  <si>
    <t>Preferred Position within the OA:</t>
  </si>
  <si>
    <t>Preferred Shape of the SE:</t>
  </si>
  <si>
    <t>Endstate Statement:</t>
  </si>
  <si>
    <t>Condition Measured</t>
  </si>
  <si>
    <t>By 2036, Sentinel has achieved diversified revenue streams that protect against budget volatility by maintaining U.S. DoD dominance while establishing sustainable Southeast Asian market presence.</t>
  </si>
  <si>
    <t>Sentinel is established as a leading Southeast Asian defense supplier through climate-specialized vehicles, strategic relationships, and offset agreements.</t>
  </si>
  <si>
    <t>Sentinel's manufacturing operations are enabling simultaneous U.S. and Southeast Asian fulfillment through automation, protecting against single-market dependency, multi-market vehicles.</t>
  </si>
  <si>
    <t>Sentinel is maintaining superior U.S. DoD contract performance and technological leadership through made-in-America craftsmanship, continuous innovation, delivery excellence, and relationships.</t>
  </si>
  <si>
    <t>Market Environment Preparation</t>
  </si>
  <si>
    <t>Market Access Barrier Reduction</t>
  </si>
  <si>
    <t>Southeast Asian market access timeline from the nation's Request for Proposal (RFP) issuance to final regulatory approval is &lt;150 days, versus the industry average of 180 days.</t>
  </si>
  <si>
    <t>Overall Current State of Strategic Environment</t>
  </si>
  <si>
    <t>Sentinel lacks capabilities and relationships to enter the heavily regulated Southeast Asian market, while facing U.S. revenue collapse that would eliminate resources funding the required transformation.</t>
  </si>
  <si>
    <t>Purpose Statement</t>
  </si>
  <si>
    <t>Maintain U.S. DoD dominance while shaping favorable regulatory access and partnerships in Southeast Asia to market new climate-specialized vehicles produced with dual-market capacity.</t>
  </si>
  <si>
    <t>Ensure organizational survival by diversifying revenue streams before U.S. budget reductions eliminate resources required to sustain technological leadership and fulfill our mission to American forces</t>
  </si>
  <si>
    <t>Key Activities</t>
  </si>
  <si>
    <t>Sustainment</t>
  </si>
  <si>
    <t>Key Activity, 8.1.</t>
  </si>
  <si>
    <t>Key Activity Targeted</t>
  </si>
  <si>
    <t>Indicators (KR/KPI), 7.5.</t>
  </si>
  <si>
    <t>Objective Targeted</t>
  </si>
  <si>
    <t>Objective Measured</t>
  </si>
  <si>
    <t>Strategic Goal Targeted</t>
  </si>
  <si>
    <t>Build Partnership Network</t>
  </si>
  <si>
    <t>Maintain Made-in America Brand</t>
  </si>
  <si>
    <t>Automate Production Systems</t>
  </si>
  <si>
    <t>Deploy Climate-Adapted Vehicle</t>
  </si>
  <si>
    <t>Gain U.S. Military Advocacy</t>
  </si>
  <si>
    <t>Establish Southeast Asian Division</t>
  </si>
  <si>
    <t>Establish Export Compliance Office</t>
  </si>
  <si>
    <t>Deploy advanced vehicle variant establishing technological superiority that supports U.S. DoD contract retention and market share maintenance.</t>
  </si>
  <si>
    <t>Deploy tropical-capable vehicles demonstrating regional performance that supports sustainable Southeast Asian market presence through credibility and supplier status.</t>
  </si>
  <si>
    <t>Secure expedited regulatory approvals reducing timeline barriers that supports sustainable Southeast Asian market presence through accelerated access.</t>
  </si>
  <si>
    <t>Gain U.S. military advocacy securing FMS/DCS support that supports sustainable Southeast Asian market presence through security cooperation facilitation.</t>
  </si>
  <si>
    <t>Establish regional division establishing partnership development capability that supports sustainable Southeast Asian market presence through relationship building and customer engagement.</t>
  </si>
  <si>
    <t>Establish compliance office managing ITAR/FMS/FCPA requirements that supports sustainable Southeast Asian market presence through regulatory navigation and expedited approvals.</t>
  </si>
  <si>
    <t>Secure Favorable Regulatory Environment</t>
  </si>
  <si>
    <t>Automate manufacturing enabling multi-market production that supports revenue diversification by enabling dual-market fulfillment capacity.</t>
  </si>
  <si>
    <t>Next-Gen Vehicle Deployment</t>
  </si>
  <si>
    <t>KR</t>
  </si>
  <si>
    <t>Deploy Next-Generation Vehicle</t>
  </si>
  <si>
    <t>Partnership Network Establishment</t>
  </si>
  <si>
    <t>Climate Vehicle Deployment</t>
  </si>
  <si>
    <t>Regulatory Timeline Reduction</t>
  </si>
  <si>
    <t>Military Advocacy Achievement</t>
  </si>
  <si>
    <t>Automation Implementation</t>
  </si>
  <si>
    <t>Division Operational Capacity</t>
  </si>
  <si>
    <t>Compliance Office Operational</t>
  </si>
  <si>
    <t>U.S. DoD Contract Retention</t>
  </si>
  <si>
    <t>Quarterly</t>
  </si>
  <si>
    <t>Domestic Market Share</t>
  </si>
  <si>
    <t>Annually</t>
  </si>
  <si>
    <t>Partnership Relationship Health</t>
  </si>
  <si>
    <t>Semi-annually</t>
  </si>
  <si>
    <t>Tropical Vehicle Performance</t>
  </si>
  <si>
    <t>Export Approval Timeliness</t>
  </si>
  <si>
    <t>Monthly</t>
  </si>
  <si>
    <t>Compliance Violation Rate</t>
  </si>
  <si>
    <t>Cultural Competency Effectiveness</t>
  </si>
  <si>
    <t>Cybersecurity Incident Rate</t>
  </si>
  <si>
    <t>Revenue Stream Balance</t>
  </si>
  <si>
    <t>vi.</t>
  </si>
  <si>
    <t>vii.</t>
  </si>
  <si>
    <t>viii.</t>
  </si>
  <si>
    <t>ix.</t>
  </si>
  <si>
    <t>x.</t>
  </si>
  <si>
    <t>xi.</t>
  </si>
  <si>
    <t>xii.</t>
  </si>
  <si>
    <t>xiii.</t>
  </si>
  <si>
    <t>xiv.</t>
  </si>
  <si>
    <t>xv.</t>
  </si>
  <si>
    <t>xvi.</t>
  </si>
  <si>
    <t>xvii.</t>
  </si>
  <si>
    <t>xviii.</t>
  </si>
  <si>
    <t>xix.</t>
  </si>
  <si>
    <t>xx.</t>
  </si>
  <si>
    <t>Dual-Market Production Achievement</t>
  </si>
  <si>
    <t>Maintain American craftsmanship brand by using U.S. labor and materials that supports U.S. DoD dominance retention through contract preference.</t>
  </si>
  <si>
    <t>Build a partnership network that creates market access to develop contracts and joint ventures that support a sustainable Southeast Asian market presence.</t>
  </si>
  <si>
    <t>Production automation as measured by automated assembly percentage increasing from 20% baseline to 60%.</t>
  </si>
  <si>
    <t>Dual-market production as measured by simultaneous U.S. and Southeast Asian contract fulfillment capability achieving operational status.</t>
  </si>
  <si>
    <t>Production capacity as measured by dual-market fulfillment rate maintaining 95% on-time delivery.</t>
  </si>
  <si>
    <t>Revenue balance as measured by U.S./Southeast Asian ratio maintaining 60/40 distribution target.</t>
  </si>
  <si>
    <t>Partnership network as measured by signed Southeast Asian government agreements increasing from zero to four partnerships.</t>
  </si>
  <si>
    <t>Revenue generation as measured by Southeast Asian contract awards increasing from zero to $150M annually.</t>
  </si>
  <si>
    <t>Relationship health as measured by Southeast Asian partner satisfaction score maintaining 85% or higher.</t>
  </si>
  <si>
    <t>Climate-adapted vehicle deployment as measured by tropical-variant deliveries increasing from zero to 150 vehicles.</t>
  </si>
  <si>
    <t>Vehicle performance as measured by tropical-climate operational readiness rate maintaining 95% or higher.</t>
  </si>
  <si>
    <t>Next-gen vehicle deployment as measured by operational U.S. DoD contract awards increasing from zero to three.</t>
  </si>
  <si>
    <t>Compliance performance as measured by FCPA/ITAR violation incidents maintaining zero violations.</t>
  </si>
  <si>
    <t>Compliance office as measured by export license processing capacity increasing from zero to 20 applications annually.</t>
  </si>
  <si>
    <t>Cybersecurity as measured by successful breach attempts maintaining zero proprietary technology compromises.</t>
  </si>
  <si>
    <t>Division establishment as measured by regional staff deployment increasing from zero to 25 personnel.</t>
  </si>
  <si>
    <t>Cultural competency as measured by relationship manager capability assessment maintaining 80% proficiency or higher.</t>
  </si>
  <si>
    <t>Military advocacy as measured by FMS case sponsorships increasing from zero to three Embassy endorsements.</t>
  </si>
  <si>
    <t>Contract retention as measured by U.S. DoD renewal rate maintaining 90% compared to 85% baseline.</t>
  </si>
  <si>
    <t>Market share as measured by U.S. armored vehicle percentage maintaining 27% compared to 27% baseline.</t>
  </si>
  <si>
    <t>Regulatory approval as measured by ITAR/FMS timeline reduction from 30 months baseline to 18 months.</t>
  </si>
  <si>
    <t>Approval timeliness as measured by average ITAR/FMS processing duration maintaining 18 months or less.</t>
  </si>
  <si>
    <t>Motivators, Tasks, and Limitations (MT&amp;L) Table</t>
  </si>
  <si>
    <t>Facts, Assumptions, and Opinions (FAO) Table</t>
  </si>
  <si>
    <t>Critical Information Requirements (CIRT) Table</t>
  </si>
  <si>
    <t>Strengths, Weaknesses, Opportunities, and Threats (SWOT) Table</t>
  </si>
  <si>
    <t>9S Table</t>
  </si>
  <si>
    <t>Baseline (Current) Description</t>
  </si>
  <si>
    <t>Organization's endstate, strategic goals, objectives, and approach to achieving them.</t>
  </si>
  <si>
    <t>U.S. DoD-dominant (85% domestic revenue). Temperate-climate vehicles. Single-market reliance. Detroit manufacturing focus.</t>
  </si>
  <si>
    <t>Dual-market approach. 40% non-U.S. revenue. Southeast Asian presence. Tropical-capable vehicles. Diversified revenue streams.</t>
  </si>
  <si>
    <t>Organizational hierarchy, divisions, accountability, reporting relationships, and workflow coordination.</t>
  </si>
  <si>
    <t>Domestic divisions: engineering, production, quality, U.S. contract management. Centralized Detroit leadership.</t>
  </si>
  <si>
    <t>Add Southeast Asian Market Division. Export Compliance Office. Flexible dual-specification production lines.</t>
  </si>
  <si>
    <t>Establish regional presence, elevate compliance authority, enable flexible workflows, create specialized engineering capabilities.</t>
  </si>
  <si>
    <t>Techniques, processes, and procedures determining how decisions and operations execute.</t>
  </si>
  <si>
    <t>Temperate-climate protocols. Domestic procurement. U.S.-only scheduling. DoD contract processes.</t>
  </si>
  <si>
    <t>Export licensing workflows. Tropical testing protocols. Dual-spec manufacturing. FCPA compliance. Regional CRM systems.</t>
  </si>
  <si>
    <t>Develop climate validation procedures, compliance monitoring, multi-market production controls, relationship-tracking tools.</t>
  </si>
  <si>
    <t>Organizational culture comprising commonly accepted norms, standards, and behavioral expectations.</t>
  </si>
  <si>
    <t>Innovation, safety, collaboration, adaptability anchored in U.S. operations and culture.</t>
  </si>
  <si>
    <t>Extend values to Southeast Asia: cultural competence, patience, compliance vigilance, dual-market quality commitment.</t>
  </si>
  <si>
    <t>Reinforce existing adaptability value. Develop cultural awareness programs. Establish compliance culture across markets.</t>
  </si>
  <si>
    <t>Distinctive capabilities and competencies personnel possess to execute strategy and mission.</t>
  </si>
  <si>
    <t>Temperate-climate armored vehicle engineering. U.S. DoD contract management. Domestic manufacturing expertise.</t>
  </si>
  <si>
    <t>Tropical engineering. Automation. Cultural competency. Export compliance. Partnership negotiation. Cybersecurity. Regional languages.</t>
  </si>
  <si>
    <t>Recruit tropical specialists, former State/DoD officials. Develop compliance training. Establish cultural awareness curricula.</t>
  </si>
  <si>
    <t>Quantity and allocation of personnel across functions, departments, and geographic locations.</t>
  </si>
  <si>
    <t>5,142 personnel. Detroit-based. Aging skilled trades workforce. U.S. contract focus.</t>
  </si>
  <si>
    <t>Add tropical engineers, automation technicians, regional directors, relationship managers, compliance officers, cybersecurity specialists.</t>
  </si>
  <si>
    <t>Recruit specialized talent. Develop retention strategies. Implement succession planning. Establish competitive compensation packages.</t>
  </si>
  <si>
    <t>Leadership's approach to management, decision-making, communication, and organizational behavior.</t>
  </si>
  <si>
    <t>Balanced: directive for DoD efficiency. Participative for divisional empowerment. Cross-functional collaboration.</t>
  </si>
  <si>
    <t>Maintain balanced style. Enable regional autonomy. Delegate compliance decisions. Support patient capital. Communicate long-term vision.</t>
  </si>
  <si>
    <t>No significant adjustments required. Current style supports dual-market strategy and decentralized execution.</t>
  </si>
  <si>
    <t>Individuals, groups, or organizations with interests, influence, or dependencies on strategy.</t>
  </si>
  <si>
    <t>U.S. DoD officials, shareholders, Detroit workforce/unions, domestic suppliers, Board directors.</t>
  </si>
  <si>
    <t>Add Southeast Asian defense ministries, State Department, Embassy attachés, local partners, regional military officials.</t>
  </si>
  <si>
    <t>Develop engagement plans. Build State Department relationships. Cultivate trust-based partnerships. Reassure existing stakeholders.</t>
  </si>
  <si>
    <t>Types and quantities of tangible and intangible resources available for execution.</t>
  </si>
  <si>
    <t>U.S. DoD contracts (85% revenue). Domestic suppliers. Detroit facilities. Traditional defense industry financing.</t>
  </si>
  <si>
    <t>Diversified revenue (60/40 split). Southeast Asian partners. Export licenses. Patient capital. Tropical materials/suppliers.</t>
  </si>
  <si>
    <t>Secure export approvals. Establish regional supply chains. Negotiate offset agreements. Arrange long-term financing.</t>
  </si>
  <si>
    <t>Develop nine objectives spanning vehicle development, partnerships, regulatory navigation, production transformation.</t>
  </si>
  <si>
    <t>U.S. DoD Procurement Officials</t>
  </si>
  <si>
    <t>Shareholders</t>
  </si>
  <si>
    <t>Board of Directors</t>
  </si>
  <si>
    <t>Detroit Workforce/Unions</t>
  </si>
  <si>
    <t>Southeast Asian Defense Ministries</t>
  </si>
  <si>
    <t>U.S. State Department Officials</t>
  </si>
  <si>
    <t>Southeast Asian Joint Venture Partners</t>
  </si>
  <si>
    <t>Domestic Component Suppliers</t>
  </si>
  <si>
    <t>U.S. Embassy Defense Attachés</t>
  </si>
  <si>
    <t>Executive Leadership Team</t>
  </si>
  <si>
    <t>Detroit Community Members</t>
  </si>
  <si>
    <t>Defense Industry Analysts/Media</t>
  </si>
  <si>
    <t>Competitor Defense Manufacturers</t>
  </si>
  <si>
    <t>Southeast Asian Component Suppliers</t>
  </si>
  <si>
    <t>U.S. Labor Regulatory Agencies</t>
  </si>
  <si>
    <t>Defense Industry Trade Associations</t>
  </si>
  <si>
    <t>Interest Min</t>
  </si>
  <si>
    <t>Influence Min</t>
  </si>
  <si>
    <t>Influence Max</t>
  </si>
  <si>
    <t>High Interest; High Influence</t>
  </si>
  <si>
    <t>Low Interest; High Influence</t>
  </si>
  <si>
    <t>High Interest; Low Influence</t>
  </si>
  <si>
    <t>Low Interest; Low Influence</t>
  </si>
  <si>
    <t>Interest Max</t>
  </si>
  <si>
    <t>The engineering team designs, develops, and tests armored vehicles optimized for North American and European operational environments to achieve superior lethality and survivability in temperate climates where U.S. forces and NATO allies primarily operate.</t>
  </si>
  <si>
    <t>The government affairs team engages with Congressional defense committees, DoD leadership, and military service branches to achieve favorable policy positions that support armored vehicle modernization programs and procurement priorities aligned with Sentinel's capabilities.</t>
  </si>
  <si>
    <t>Tropical Climate Vehicle Engineering</t>
  </si>
  <si>
    <t>The engineering team wants to develop climate-hardened platforms to achieve superior performance in Southeast Asian operational environments.</t>
  </si>
  <si>
    <t>Regional Aftermarket Support Network</t>
  </si>
  <si>
    <t>The customer support team wants to establish local service capabilities to achieve sustained vehicle readiness for Southeast Asian customers.</t>
  </si>
  <si>
    <t>The manufacturing operations team wants to automate production systems to achieve simultaneous U.S. and Southeast Asian contract fulfillment.</t>
  </si>
  <si>
    <t>Advanced Cyber Protection Infrastructure</t>
  </si>
  <si>
    <t>The information security team wants to implement sophisticated defenses to achieve protection of proprietary technologies from nation-state threats.</t>
  </si>
  <si>
    <t>Foreign Military Sales</t>
  </si>
  <si>
    <t>The regional division wants to build government partnerships and manage joint ventures to achieve market access and contract awards.</t>
  </si>
  <si>
    <t>The compliance team wants to manage ITAR registration and technology control plans to achieve compliant defense article operations.</t>
  </si>
  <si>
    <t>Objectives Supported</t>
  </si>
  <si>
    <t>Environmental tolerance, corrosion resistance, cooling system performance, water-fording capability</t>
  </si>
  <si>
    <t>Operate continuously at 42°C and 90% humidity; 95% mission readiness after 12 months tropical deployment; ford 1.5 meters water depth</t>
  </si>
  <si>
    <t>Establish Southeast Asian Division, Build Partnership Network</t>
  </si>
  <si>
    <t>Government relationship depth, joint venture structuring capability, cultural competency, market access speed</t>
  </si>
  <si>
    <t>Establish working relationships with 3 defense ministries by Year 2; execute 1 joint venture agreement by Year 3; 90% cultural protocol compliance</t>
  </si>
  <si>
    <t>Establish Export Compliance Office, Secure Favorable Regulatory Environment</t>
  </si>
  <si>
    <t>Export license approval speed, ITAR classification accuracy, technology control plan completeness, audit readiness</t>
  </si>
  <si>
    <t>Reduce average export license approval time to 18 months; 100% ITAR classification accuracy; zero violations during audits</t>
  </si>
  <si>
    <t>Service response time, spare parts availability, technician proficiency, customer satisfaction</t>
  </si>
  <si>
    <t>Respond to service requests within 48 hours; maintain 95% spare parts availability; 90% first-time fix rate; 85% customer satisfaction score</t>
  </si>
  <si>
    <t>Production volume capacity, quality consistency, manufacturing flexibility, delivery reliability</t>
  </si>
  <si>
    <t>Increase capacity to 650 vehicles annually; maintain 99.5% quality pass rate; support 3 simultaneous product variants; achieve 98% on-time delivery</t>
  </si>
  <si>
    <t>Threat detection speed, incident response time, data protection level, security certification compliance</t>
  </si>
  <si>
    <t>Detect intrusions within 15 minutes; contain breaches within 2 hours; achieve CMMC Level 3 certification; zero intellectual property losses</t>
  </si>
  <si>
    <t>Contract delivery performance, compliance accuracy, payment processing speed</t>
  </si>
  <si>
    <t>98% on-time delivery; 100% compliance reporting accuracy; process payments within 30 days</t>
  </si>
  <si>
    <t>Temperature range performance, terrain adaptability, survivability ratings</t>
  </si>
  <si>
    <t>Operate -20°C to 35°C; traverse 80% terrain types; exceed ballistic protection Level IV</t>
  </si>
  <si>
    <t>Production volume capacity, quality consistency, skilled workforce retention</t>
  </si>
  <si>
    <t>Produce 500 vehicles annually; maintain 99% quality pass rate; 85% workforce retention</t>
  </si>
  <si>
    <t>Relationship depth, communication frequency, contract renewal rate</t>
  </si>
  <si>
    <t>Quarterly engagement with 5 key program offices; 80% contract renewal rate</t>
  </si>
  <si>
    <t>Armor weight-to-protection ratio, blast resistance, multi-hit capability</t>
  </si>
  <si>
    <t>20% weight reduction vs. competitors; withstand 15kg IED; resist 3 sequential impacts same location</t>
  </si>
  <si>
    <t>Parts availability, service response time, customer satisfaction</t>
  </si>
  <si>
    <t>98% parts availability; 24-hour response time; 90% customer satisfaction score</t>
  </si>
  <si>
    <t>Weapons compatibility, targeting accuracy, engagement speed</t>
  </si>
  <si>
    <t>Compatible with 6 weapon systems; 95% first-round hit probability; 5-second target acquisition</t>
  </si>
  <si>
    <t>Supplier reliability, material availability, lead time predictability</t>
  </si>
  <si>
    <t>95% on-time supplier delivery; 98% material availability; 90-day average lead time</t>
  </si>
  <si>
    <t>Workforce skill level, training completion rate, retention rate</t>
  </si>
  <si>
    <t>85% journeyman-level proficiency; 90% training completion; 85% annual retention</t>
  </si>
  <si>
    <t>Maximum speed, range, terrain capability, fuel efficiency</t>
  </si>
  <si>
    <t>65 MPH top speed; 400-mile range; 70% terrain traversability; 6 MPG</t>
  </si>
  <si>
    <t>Design-to-prototype time, testing thoroughness, demonstration readiness</t>
  </si>
  <si>
    <t>18-month design-to-prototype cycle; complete 95% test protocols; 100% demonstration success rate</t>
  </si>
  <si>
    <t>Patent portfolio size, trade secret protection effectiveness, IP litigation success</t>
  </si>
  <si>
    <t>Maintain 25 active patents; zero unauthorized disclosures; 90% litigation success rate</t>
  </si>
  <si>
    <t>Congressional engagement frequency, policy influence success, budget advocacy effectiveness</t>
  </si>
  <si>
    <t>Quarterly briefings with 10 Congressional offices; 70% policy position alignment; maintain funding levels</t>
  </si>
  <si>
    <t>Deploy Next-Generation Vehicle, Maintain Made-in America Brand</t>
  </si>
  <si>
    <t>Deploy Next-Generation Vehicle, Maintain Made-in America Brand, Build Partnership Network, Deploy Climate-Adapted Vehicle</t>
  </si>
  <si>
    <t>Automate Production Systems, Maintain Made-in America Brand</t>
  </si>
  <si>
    <t>Need for Replacement/Recapitilization</t>
  </si>
  <si>
    <t>Reorganize production lines, train personnel in automation technologies, acquire robotic assembly equipment, upgrade facilities for flexible manufacturing, establish dual-market production scheduling procedures.</t>
  </si>
  <si>
    <t>Develop export IP protection doctrine, create technology transfer review procedures, train legal staff on international IP regulations, establish policies for export-related technology disclosure controls.</t>
  </si>
  <si>
    <t>R&amp;D climate-hardened vehicle variants with enhanced cooling systems, corrosion-resistant materials, and water-fording capabilities for tropical operational environments.</t>
  </si>
  <si>
    <t>Procure regional offices, hire local personnel, establish partnership infrastructure in target Southeast Asian markets.</t>
  </si>
  <si>
    <t>Establish export compliance office, develop ITAR classification procedures, train personnel in export regulations, create technology control plans, implement audit-ready documentation policies and systems.</t>
  </si>
  <si>
    <t>Establish regional service centers, parts warehouses, and technical support facilities with trained local technicians.</t>
  </si>
  <si>
    <t>Establish multi-variant production doctrine, reorganize manufacturing teams for flexibility, train workforce in rapid changeover procedures, upgrade scheduling systems, implement agile manufacturing policies.</t>
  </si>
  <si>
    <t>Procure advanced threat detection systems, security operations center equipment, and CMMC Level 3 compliant cybersecurity infrastructure.</t>
  </si>
  <si>
    <t>Unavailable - Not Requirement</t>
  </si>
  <si>
    <t>Implement sophisticated defenses protecting proprietary technologies from nation-state threats supporting technological leadership retention.</t>
  </si>
  <si>
    <t>xxi.</t>
  </si>
  <si>
    <t>Cyber Protection Infrastructure Deployed</t>
  </si>
  <si>
    <t>Achieve CMMC Level 3 certification and deploy intrusion detection systems containing breaches within 15 minutes.</t>
  </si>
  <si>
    <t>a</t>
  </si>
  <si>
    <t>a.</t>
  </si>
  <si>
    <t>b.</t>
  </si>
  <si>
    <t>c.</t>
  </si>
  <si>
    <t>d.</t>
  </si>
  <si>
    <t>e.</t>
  </si>
  <si>
    <t>f.</t>
  </si>
  <si>
    <t>g.</t>
  </si>
  <si>
    <t>h.</t>
  </si>
  <si>
    <t>j.</t>
  </si>
  <si>
    <t>k.</t>
  </si>
  <si>
    <t>Milestones, 8.1.</t>
  </si>
  <si>
    <t>First Export License Approved</t>
  </si>
  <si>
    <t>Regional Office Operational</t>
  </si>
  <si>
    <t>First Partnership Agreement Signed</t>
  </si>
  <si>
    <t>Export Compliance Office Operational</t>
  </si>
  <si>
    <t>Production Automation Deployed</t>
  </si>
  <si>
    <t>CMMC Level 3 Certified</t>
  </si>
  <si>
    <t>Made-in-America Campaign Launched</t>
  </si>
  <si>
    <t>Congressional engagement and media strategy operational reinforcing domestic manufacturing commitment and competitive differentiation</t>
  </si>
  <si>
    <t>FMS Capability Established</t>
  </si>
  <si>
    <t>Regional Support Network Deployed</t>
  </si>
  <si>
    <t>l.</t>
  </si>
  <si>
    <t>Congressional Advocacy Program Established</t>
  </si>
  <si>
    <t>Streamlined Approval Process Validated</t>
  </si>
  <si>
    <t>Joint Venture Formed</t>
  </si>
  <si>
    <t>Supplier Partnership Network Established</t>
  </si>
  <si>
    <t>FCPA Training Program Deployed</t>
  </si>
  <si>
    <t>Automation Design Complete</t>
  </si>
  <si>
    <t>Workforce Transition Program Launched</t>
  </si>
  <si>
    <t>Cyber Defense Center Operational</t>
  </si>
  <si>
    <t>Incident Response Plan Validated</t>
  </si>
  <si>
    <t>Service Branch Endorsement Obtained</t>
  </si>
  <si>
    <t>Advanced Systems Integration Complete</t>
  </si>
  <si>
    <t>Next-Gen FOC Achieved</t>
  </si>
  <si>
    <t>t.</t>
  </si>
  <si>
    <t>w.</t>
  </si>
  <si>
    <t>u.</t>
  </si>
  <si>
    <t>p.</t>
  </si>
  <si>
    <t>s.</t>
  </si>
  <si>
    <t>m.</t>
  </si>
  <si>
    <t>r.</t>
  </si>
  <si>
    <t>n.</t>
  </si>
  <si>
    <t>o.</t>
  </si>
  <si>
    <t>q.</t>
  </si>
  <si>
    <t>y.</t>
  </si>
  <si>
    <t>z.</t>
  </si>
  <si>
    <t>DoD Endorsement Obtained</t>
  </si>
  <si>
    <t>Next-Gen IOC Achieved</t>
  </si>
  <si>
    <t>Climate-Adapted Prototype Complete</t>
  </si>
  <si>
    <t>Next-Gen Prototype Complete</t>
  </si>
  <si>
    <t>Climate-Adapted IOC Achieved</t>
  </si>
  <si>
    <t>Climate-Adapted FOC Achieved</t>
  </si>
  <si>
    <t>Ptototype with climate-hardened subsystems developed including cooling thermal management and corrosion-resistant materials achieving design specifications, building off designs from U.S.</t>
  </si>
  <si>
    <t>Advanced platform achieves initial operating capability demonstrating technological readiness for procurement.</t>
  </si>
  <si>
    <t>AI-enabled subsystems and active protection technologies integrated achieving performance specifications for competitive differentiation.</t>
  </si>
  <si>
    <t>Initial operational capability reached with production-ready platform validating manufacturing scalability and contract fulfillment readiness.</t>
  </si>
  <si>
    <t>Full operational capability reached with production-ready platform validating manufacturing scalability and contract fulfillment readiness.</t>
  </si>
  <si>
    <t>Cybersecurity certification achieved protecting proprietary technologies and enabling trusted partner status.</t>
  </si>
  <si>
    <t>Security operations center established with threat monitoring capabilities protecting intellectual property from nation-state attacks.</t>
  </si>
  <si>
    <t>Cybersecurity protocols tested through simulated breach exercise confirming organizational readiness and resilience.</t>
  </si>
  <si>
    <t>Initial MOU establishes strategic relationship validating partnership approach and enabling collaborative market entry.</t>
  </si>
  <si>
    <t>Local service capabilities operational achieving sustained vehicle readiness and customer satisfaction for Southeast Asian clients.</t>
  </si>
  <si>
    <t>First Partnership operationalized with technology transfer agreements satisfying offset requirements and enabling local production capability.</t>
  </si>
  <si>
    <t>Regional supply chain relationships formalized enabling component sourcing and logistics support for Southeast Asian operations.</t>
  </si>
  <si>
    <t>Division registered with local staff hired enabling market presence and relationship building.</t>
  </si>
  <si>
    <t>Government partnership processes operational enabling joint venture management for market access and contract awards.</t>
  </si>
  <si>
    <t>State Department grants initial ITAR/FMS approval establishing legal foundation for market access.</t>
  </si>
  <si>
    <t>Government relations framework operational with key committee relationships established supporting favorable regulatory treatment.</t>
  </si>
  <si>
    <t>Second export license approved within 18-month timeline confirming process improvements and relationship effectiveness.</t>
  </si>
  <si>
    <t>New vehicle program is supported by regional U.S. military leadership for preferential consideration in security cooperation plans.</t>
  </si>
  <si>
    <t>Military end-user testimonials documented demonstrating operational performance and building advocacy within DoD customer base.</t>
  </si>
  <si>
    <t>Dedicated function staffed with ITAR/FMS expertise protecting regulatory approval and organizational reputation.</t>
  </si>
  <si>
    <t>Comprehensive anti-corruption program operational with employee certification protecting organization from enforcement actions and market exclusion.</t>
  </si>
  <si>
    <t>Factory automation specifications finalized with vendor selection and capital approval enabling implementation timeline.</t>
  </si>
  <si>
    <t>Employee reskilling initiative operational preparing workforce for automated production roles and minimizing disruption.</t>
  </si>
  <si>
    <t>Robotic manufacturing lines operational enabling dual-market scalability without proportional workforce expansion.</t>
  </si>
  <si>
    <t>za.</t>
  </si>
  <si>
    <t>Evaluation Table</t>
  </si>
  <si>
    <t>Objective(s) Supported</t>
  </si>
  <si>
    <t>Cost</t>
  </si>
  <si>
    <t>Short Name</t>
  </si>
  <si>
    <t>Made-in-America Brand Program</t>
  </si>
  <si>
    <t>Ongoing</t>
  </si>
  <si>
    <t>Initiative</t>
  </si>
  <si>
    <t>Cyber Defense Program</t>
  </si>
  <si>
    <t>Production Automation Initiative</t>
  </si>
  <si>
    <t>Next-Gen Vehicle Program</t>
  </si>
  <si>
    <t>Marketing team will sustain brand identity continuously by Congressional engagement and media campaigns to support DoD contract preference.</t>
  </si>
  <si>
    <t>Regulatory Compliance Program</t>
  </si>
  <si>
    <t>SE Asia Market Program</t>
  </si>
  <si>
    <t>Climate Vehicle Development Program</t>
  </si>
  <si>
    <t>Objectives (&amp; Milestones) Targeted</t>
  </si>
  <si>
    <t>4(h, i, j, k); 6(o, p); 8(u, t)</t>
  </si>
  <si>
    <t>5(l, m, n)</t>
  </si>
  <si>
    <t>10 (y, x, z)</t>
  </si>
  <si>
    <t>3(e, f, g)</t>
  </si>
  <si>
    <t>2 (za)</t>
  </si>
  <si>
    <t>Compliance Office Staffing</t>
  </si>
  <si>
    <t>FCPA Training Completion</t>
  </si>
  <si>
    <t>Regional Office Establishment</t>
  </si>
  <si>
    <t>Partnership Agreements Progress</t>
  </si>
  <si>
    <t>Climate Prototype Progress</t>
  </si>
  <si>
    <t>Tropical IOC Readiness</t>
  </si>
  <si>
    <t>Automation Design Completion</t>
  </si>
  <si>
    <t>Workforce Reskilling Progress</t>
  </si>
  <si>
    <t>Next-Gen Prototype Progress</t>
  </si>
  <si>
    <t>AI Integration Progress</t>
  </si>
  <si>
    <t>CMMC Certification Progress</t>
  </si>
  <si>
    <t>Cyber Resilience Validation</t>
  </si>
  <si>
    <t>Brand Campaign Launch</t>
  </si>
  <si>
    <t>Compliance team will secure export approvals and conduct FCPA training and advocacy to support market access by Dec-2030.</t>
  </si>
  <si>
    <t>Business development team will form the SE Asia Division to build partner network encompassing joint ventures and advocacy to support market entry by Dec 2033.</t>
  </si>
  <si>
    <t>R&amp;D team will deploy Climate-Adapted Vehicle FOC incorporating tropical engineering to support Southeast Asian market credibility by Dec 2033.</t>
  </si>
  <si>
    <t>Operations team will deploy Production Automation with robotic installation and workforce transition to support dual-market capacity by Dec 2032.</t>
  </si>
  <si>
    <t>R&amp;D team will achieve Next-Gen Vehicle FOC with AI-enabled platform integration to support U.S. DoD dominance by Jun 2033.</t>
  </si>
  <si>
    <t>IT security team will validate Incident Response Plan with CMMC certification and monitoring to protect IP by Dec 2030.</t>
  </si>
  <si>
    <t>Compliance office staffing as measured through the number of ITAR/FMS experts hired on Dec 2027 that will enable license processing.</t>
  </si>
  <si>
    <t>FCPA training completion as measured through the number of employee certifications issued on Jun 2028 that will confirm compliance readiness.</t>
  </si>
  <si>
    <t>IOC readiness as measured through the number of tropical performance tests passed on Dec 2029 that will confirm production readiness.</t>
  </si>
  <si>
    <t>Partnership agreements progress as measured through the number of MOUs signed on Jun 2029 that will validate relationship approach.</t>
  </si>
  <si>
    <t>Regional office operational status as measured through the number of local and headquarters staff hired on Dec 2027 that will enable market presence.</t>
  </si>
  <si>
    <t>Prototype development as measured through the number of climate engineering milestones completed on Dec 2028 that will validate design specifications.</t>
  </si>
  <si>
    <t>Automation design as measured through the number of vendors selected and capital approvals on Jun 2028 that will enable installation.</t>
  </si>
  <si>
    <t>Prototype completion as measured through the number of R&amp;D milestones achieved on Dec 2029 that will validate platform readiness.</t>
  </si>
  <si>
    <t>AI systems integration as measured through the number of performance specifications met on Jun 2031 that will confirm competitive differentiation.</t>
  </si>
  <si>
    <t>CMMC certification as measured through the number of security controls implemented on Dec 2028 that will enable trusted partner status.</t>
  </si>
  <si>
    <t>Incident response readiness as measured through the number of simulated breach test completed on Jun 2030 that will validate cyber resilience.</t>
  </si>
  <si>
    <t>Campaign launch progress as measured through the number of Congressional engagement completed on Mar 2027 that will reinforce brand identity.</t>
  </si>
  <si>
    <t>Workforce reskilling as measured through the number of employee certifications achieved on Jun 2030 that will minimize production disruption.</t>
  </si>
  <si>
    <t>Phase 1 — Build the Foundation: establish compliance office, regional division, and early R&amp;D prototypes.</t>
  </si>
  <si>
    <t>Phase 2 — Shape the Environment: secure export licenses, build partnerships, and achieve initial vehicle IOC.</t>
  </si>
  <si>
    <t>Phase 3 — Enter the Market: deliver first climate-adapted and next-generation vehicles, validating dual-market production.</t>
  </si>
  <si>
    <t>Phase 4 — Achieve Full Operations: reach FOC, generate $450M Southeast Asian revenue, sustain U.S. DoD dominance.</t>
  </si>
  <si>
    <t>Assess FCPA training certification rates to confirm compliance readiness before engaging Southeast Asian government partners.</t>
  </si>
  <si>
    <t>Evaluate CMMC Level 3 progress to confirm cyber readiness before initiating sensitive partner negotiations.</t>
  </si>
  <si>
    <t>Assess export license approval progress to confirm regulatory access before committing to Phase 3 investments.</t>
  </si>
  <si>
    <t>Assess DoD endorsement status to confirm U.S. military advocacy before scaling Southeast Asian sales commitments.</t>
  </si>
  <si>
    <t>Evaluate production automation deployment to confirm dual-market capacity before committing to climate vehicle deliveries.</t>
  </si>
  <si>
    <t>Halt climate vehicle production scale-up pending production automation deployment to preserve dual-market manufacturing capacity.</t>
  </si>
  <si>
    <t>Suspend joint venture negotiations pending first export license approval to avoid regulatory non-compliance exposure.</t>
  </si>
  <si>
    <t>If U.S. defense budget cuts exceed 20%, accelerate Southeast Asian market entry timeline by 12 months.</t>
  </si>
  <si>
    <t>If export license timeline exceeds 30 months, pursue Direct Commercial Sales as an alternative regulatory pathway.</t>
  </si>
  <si>
    <t>If climate prototype fails tropical validation, initiate design revision before committing to IOC production timeline.</t>
  </si>
  <si>
    <t>If joint venture negotiations fail, pursue sole-ownership regional subsidiary as an alternative partnership structure.</t>
  </si>
  <si>
    <t>If cyber breach occurs before CMMC certification, immediately pause all Southeast Asian partner technology sharing.</t>
  </si>
  <si>
    <t>Upon Phase 2 completion, initiate Phase 3 market entry pending export license and automation deployment confirmation.</t>
  </si>
  <si>
    <t>Upon joint venture formation, initiate in-country assembly operations and local production capability transfer.</t>
  </si>
  <si>
    <t>Upon Next-Gen FOC achievement, initiate competitive bidding for second-generation platform contracts with U.S. DoD.</t>
  </si>
  <si>
    <t>First Southeast Asian contract award validates commercial viability of Sentinel's regional market entry strategy.</t>
  </si>
  <si>
    <t>Evaluation Matrix</t>
  </si>
  <si>
    <t>Market Entry Timeline</t>
  </si>
  <si>
    <t>CONOP achieves Southeast Asian market presence within the 10-year time horizon.</t>
  </si>
  <si>
    <t>Years to Market Entry</t>
  </si>
  <si>
    <t>≤ 8 yrs</t>
  </si>
  <si>
    <t>7 yrs</t>
  </si>
  <si>
    <t>DoD Contract Retention</t>
  </si>
  <si>
    <t>CONOP maintains U.S. DoD contract retention above the 90% baseline throughout.</t>
  </si>
  <si>
    <t>% Retention Rate</t>
  </si>
  <si>
    <t>≥ 90%</t>
  </si>
  <si>
    <t>Revenue Diversification</t>
  </si>
  <si>
    <t>CONOP generates non-U.S. revenue sufficient to offset domestic budget reductions.</t>
  </si>
  <si>
    <t>% Non-U.S. Revenue</t>
  </si>
  <si>
    <t>≥ 40%</t>
  </si>
  <si>
    <t>Board Risk Tolerance</t>
  </si>
  <si>
    <t>Overall strategy risk falls within board-approved parameters for market entry.</t>
  </si>
  <si>
    <t>Risk Score (1–10)</t>
  </si>
  <si>
    <t>≤ 6.0</t>
  </si>
  <si>
    <t>Stakeholder Support Level</t>
  </si>
  <si>
    <t>CONOP has required support from DoD, State Department, and Board of Directors.</t>
  </si>
  <si>
    <t>% Stakeholder Approval</t>
  </si>
  <si>
    <t>≥ 80%</t>
  </si>
  <si>
    <t>Export License Feasibility</t>
  </si>
  <si>
    <t>ITAR/FMS approvals are achievable within the strategy timeline and regulatory constraints.</t>
  </si>
  <si>
    <t>Months to First License</t>
  </si>
  <si>
    <t>≤ 30 mos</t>
  </si>
  <si>
    <t>28 mos</t>
  </si>
  <si>
    <t>Capital Availability</t>
  </si>
  <si>
    <t>Required capital investment is available within Sentinel's current and projected financial capacity.</t>
  </si>
  <si>
    <t>$M Available</t>
  </si>
  <si>
    <t>≥ $450M</t>
  </si>
  <si>
    <t>$430M</t>
  </si>
  <si>
    <t>Workforce Capacity</t>
  </si>
  <si>
    <t>Skilled workforce is sufficient to execute dual-market production within existing capacity constraints.</t>
  </si>
  <si>
    <t>% Capacity Utilization</t>
  </si>
  <si>
    <t>≤ 90%</t>
  </si>
  <si>
    <t>Revenue Impact</t>
  </si>
  <si>
    <t>Score (1–10)</t>
  </si>
  <si>
    <t>Execution Risk</t>
  </si>
  <si>
    <t>Level of risk associated with executing CONOP within time, space, and means constraints.</t>
  </si>
  <si>
    <t>Resource Efficiency</t>
  </si>
  <si>
    <t>Degree to which CONOP maximizes strategic outcomes relative to total capital invested.</t>
  </si>
  <si>
    <t>Timeline Achievability</t>
  </si>
  <si>
    <t>Confidence that all CONOP milestones are achievable within the 10-year horizon.</t>
  </si>
  <si>
    <t>Competitive Positioning</t>
  </si>
  <si>
    <t>Degree to which CONOP establishes durable competitive advantage in Southeast Asian markets.</t>
  </si>
  <si>
    <t>Operational Flexibility</t>
  </si>
  <si>
    <t>Degree to which CONOP allows subordinate leaders to adapt to unexpected conditions.</t>
  </si>
  <si>
    <t>DoD Relationship Protection</t>
  </si>
  <si>
    <t>Degree to which CONOP protects and strengthens the critical U.S. DoD relationship.</t>
  </si>
  <si>
    <t>Partnership Durability</t>
  </si>
  <si>
    <t>Depth and durability of Southeast Asian government and industry partnerships the CONOP creates.</t>
  </si>
  <si>
    <t>Technology Protection</t>
  </si>
  <si>
    <t>Degree to which CONOP safeguards proprietary armor and manufacturing technologies during execution.</t>
  </si>
  <si>
    <t>Workforce Stability</t>
  </si>
  <si>
    <t>Degree to which CONOP supports workforce stability and capability development during execution.</t>
  </si>
  <si>
    <t>Adversary Competitive Response</t>
  </si>
  <si>
    <t>CONOP withstands competitive responses from Aegis, Ironclad, and ShieldTech in Southeast Asian markets.</t>
  </si>
  <si>
    <t>Regulatory Delay Impact</t>
  </si>
  <si>
    <t>Strategy absorbs a 12-month export license delay without missing critical market entry windows.</t>
  </si>
  <si>
    <t>Months of Delay Tolerance</t>
  </si>
  <si>
    <t>≥ 12 mos</t>
  </si>
  <si>
    <t>10 mos</t>
  </si>
  <si>
    <t>Degree to which CONOP generates target Southeast Asian revenue by the 2036 deadline.</t>
  </si>
  <si>
    <t>If competitor announces competing product within 6 months of first MOU, accelerate joint venture formation ahead of schedule.</t>
  </si>
  <si>
    <t>Assess competitive threat to determine whether to accelerate joint venture formation ahead of schedule.</t>
  </si>
  <si>
    <t>Regional Office Site Selection</t>
  </si>
  <si>
    <t>Phase 1</t>
  </si>
  <si>
    <t>Evaluate Singapore and Manila as SE Asia headquarters locations.</t>
  </si>
  <si>
    <t>Singapore government offers favorable registration terms and proximity to regional defense networks.</t>
  </si>
  <si>
    <t>Select Singapore as primary hub; register business entity and secure office space.</t>
  </si>
  <si>
    <t>$1M site evaluation; legal counsel</t>
  </si>
  <si>
    <t>Adv: Singapore stability accelerates setup. Dis: Higher operating costs than Manila.</t>
  </si>
  <si>
    <t>Long-term lease terms and local hire availability uncertain.</t>
  </si>
  <si>
    <t>Regional Staff Hiring</t>
  </si>
  <si>
    <t>Recruit regional director and cultural advisors with SE Asian defense relationships.</t>
  </si>
  <si>
    <t>Competitive talent market; candidates with government relationships command premium salaries.</t>
  </si>
  <si>
    <t>Offer equity incentives and career development to attract top regional talent.</t>
  </si>
  <si>
    <t>$3M personnel budget; recruiting firm retained</t>
  </si>
  <si>
    <t>Adv: Local expertise accelerates trust-building. Dis: Talent competition drives up costs.</t>
  </si>
  <si>
    <t>Candidate loyalty and existing government relationships unverified.</t>
  </si>
  <si>
    <t>Regional Office Operational (Milestone O)</t>
  </si>
  <si>
    <t>Regional office fully operational; 10 local staff onboarded; initial ministry introductions made.</t>
  </si>
  <si>
    <t>Philippine and Vietnamese defense ministries acknowledge presence; request formal capability briefings.</t>
  </si>
  <si>
    <t>Schedule bilateral briefings with Philippine DND and Vietnamese MND for Q1 2028.</t>
  </si>
  <si>
    <t>$5M total Phase 1 office investment</t>
  </si>
  <si>
    <t>Ministry procurement timelines and budget cycles not yet confirmed.</t>
  </si>
  <si>
    <t>FMS Process Development</t>
  </si>
  <si>
    <t>Develop FMS case management capability; assign dedicated government partnership manager.</t>
  </si>
  <si>
    <t>State Dept signals ITAR processing will take 24–28 months; requests detailed end-use certifications.</t>
  </si>
  <si>
    <t>Pre-position end-use documentation; brief State Dept on Sentinel's compliance framework.</t>
  </si>
  <si>
    <t>$2M compliance infrastructure; State Dept liaison</t>
  </si>
  <si>
    <t>FMS Capability Established (Milestone P)</t>
  </si>
  <si>
    <t>FMS processes operational; export license applications submitted for Philippines and Vietnam.</t>
  </si>
  <si>
    <t>Congressional budget debate signals additional U.S. defense cuts; Philippine officials express urgency to diversify suppliers.</t>
  </si>
  <si>
    <t>Brief Armed Services Committee on Sentinel's FMS pipeline to demonstrate export value.</t>
  </si>
  <si>
    <t>$2M government relations; Congressional liaison</t>
  </si>
  <si>
    <t>Timeline for Congressional advocacy impact on FMS processing unclear.</t>
  </si>
  <si>
    <t>First Ministry Engagement</t>
  </si>
  <si>
    <t>Conduct formal capability briefing with Philippine DND; present climate-adapted vehicle specifications.</t>
  </si>
  <si>
    <t>Philippine officials express strong interest but require offset agreement and local content plan before advancing.</t>
  </si>
  <si>
    <t>Engage local defense industry to develop preliminary offset proposal for Philippine review.</t>
  </si>
  <si>
    <t>$500K executive travel and presentations</t>
  </si>
  <si>
    <t>Adv: Strong Philippine interest validates market demand. Dis: Offset requirement adds complexity and cost.</t>
  </si>
  <si>
    <t>Philippine offset percentage requirements and acceptable local content categories not yet confirmed.</t>
  </si>
  <si>
    <t>Formal Proposal Submitted</t>
  </si>
  <si>
    <t>Submit formal partnership proposal to Philippine DND including offset framework and technology cooperation terms.</t>
  </si>
  <si>
    <t>Aegis Armorworks submits competing proposal at a lower price point.</t>
  </si>
  <si>
    <t>Emphasize U.S. alliance interoperability, DoD relationships, and long-term support advantages over Aegis pricing.</t>
  </si>
  <si>
    <t>$1M proposal development; legal and technical teams</t>
  </si>
  <si>
    <t>Adv: First formal proposal establishes Sentinel as lead contender. Dis: Aegis price competition threatens to shift evaluation criteria.</t>
  </si>
  <si>
    <t>Aegis pricing structure and proposed offset terms unknown.</t>
  </si>
  <si>
    <t>MOU Negotiations Begin</t>
  </si>
  <si>
    <t>Phase 2</t>
  </si>
  <si>
    <t>Enter formal MOU negotiations with Philippine DND; present joint venture structure options.</t>
  </si>
  <si>
    <t>Vietnamese defense ministry requests parallel engagement, signaling competitive procurement interest.</t>
  </si>
  <si>
    <t>Assign second negotiating team to Vietnam; prioritize Philippines while maintaining Vietnamese momentum.</t>
  </si>
  <si>
    <t>$2M negotiation budget; dual teams deployed</t>
  </si>
  <si>
    <t>Adv: Parallel Vietnamese interest validates regional demand. Dis: Dual negotiations strain senior leadership bandwidth.</t>
  </si>
  <si>
    <t>Vietnam's preferred partnership structure and technology transfer expectations unclear.</t>
  </si>
  <si>
    <t>First Partnership Agreement Signed (Milestone H)</t>
  </si>
  <si>
    <t>Sign MOU with Philippine DND establishing strategic cooperation and joint vehicle procurement framework.</t>
  </si>
  <si>
    <t>Aegis announces climate-adapted vehicle demonstration in Manila scheduled Oct 2029, threatening first-mover advantage.</t>
  </si>
  <si>
    <t>Activate new Decision Point — assess whether to accelerate JV formation to lock in Philippine commitment before Aegis demonstration.</t>
  </si>
  <si>
    <t>New DP: Assess Aegis competitive threat — accelerate JV or maintain original timeline.</t>
  </si>
  <si>
    <t>$3M MOU execution; executive leadership travel</t>
  </si>
  <si>
    <t>Aegis product performance and pricing unknown; Philippine commitment depth post-Aegis announcement uncertain.</t>
  </si>
  <si>
    <t>Aegis Competitive Response</t>
  </si>
  <si>
    <t>Brief Philippine DND on Sentinel's superior climate engineering credentials and DoD endorsement pathway.</t>
  </si>
  <si>
    <t>Accelerate U.S. Embassy security cooperation endorsement request to preempt Aegis credibility claims.</t>
  </si>
  <si>
    <t>DP: Activate Branch — accelerate JV formation ahead of original Dec 2030 timeline.</t>
  </si>
  <si>
    <t>$500K advocacy and Embassy coordination</t>
  </si>
  <si>
    <t>Adv: U.S. Embassy endorsement is a differentiator Aegis cannot match. Dis: Philippine officials' willingness to wait for Sentinel's JV not guaranteed.</t>
  </si>
  <si>
    <t>U.S. Embassy endorsement timeline and appetite for commercial engagement uncertain.</t>
  </si>
  <si>
    <t>Accelerated JV Discussions</t>
  </si>
  <si>
    <t>Present accelerated JV proposal to Philippine DND; offer technology transfer within IP-protected boundaries.</t>
  </si>
  <si>
    <t>Philippine DND receptive but requests CEO-level commitment before proceeding.</t>
  </si>
  <si>
    <t>Schedule CEO visit to Manila; present board-approved JV term sheet with IP protection protocols.</t>
  </si>
  <si>
    <t>Adv: CEO engagement signals highest-level strategic commitment. Dis: Board approval timeline creates short delay.</t>
  </si>
  <si>
    <t>Board's appetite for accelerated JV timeline and acceptable IP exposure level uncertain.</t>
  </si>
  <si>
    <t>Regional Support Network Deployed (Milestone I)</t>
  </si>
  <si>
    <t>Deploy aftermarket support network in Philippines; establish forward service depot.</t>
  </si>
  <si>
    <t>Brief Vietnamese MND on support network capabilities; propose parallel support framework for Vietnam.</t>
  </si>
  <si>
    <t>$8M regional support infrastructure; 15 technicians deployed</t>
  </si>
  <si>
    <t>Service Branch Endorsement Obtained (Milestone U)</t>
  </si>
  <si>
    <t>Secure U.S. Army and Marine Corps documented testimonials on vehicle operational performance.</t>
  </si>
  <si>
    <t>Indonesian defense ministry requests independent tropical performance validation beyond U.S. military endorsements.</t>
  </si>
  <si>
    <t>Arrange third-party tropical testing through Australian Defence Force partnership.</t>
  </si>
  <si>
    <t>$1M advocacy program; military liaison relationships</t>
  </si>
  <si>
    <t>Adv: Multi-source endorsement increases credibility across diverse buyer pool. Dis: Australian validation adds 3–4 months to Indonesian engagement timeline.</t>
  </si>
  <si>
    <t>Australian Defence Force availability and participation cost uncertain.</t>
  </si>
  <si>
    <t>Supplier Network Negotiations</t>
  </si>
  <si>
    <t>Negotiate supply chain agreements with Philippine and Singaporean defense component suppliers.</t>
  </si>
  <si>
    <t>$2M supply chain development; procurement legal team</t>
  </si>
  <si>
    <t>JV Framework Agreement Reached</t>
  </si>
  <si>
    <t>Reach JV framework agreement on ownership structure, technology scope, and production plan.</t>
  </si>
  <si>
    <t>ShieldTech Systems announces intent to enter Vietnamese market leveraging existing Asia-Pacific distribution network.</t>
  </si>
  <si>
    <t>Accelerate Vietnamese bilateral engagement; leverage regional support network and DoD endorsement as differentiators.</t>
  </si>
  <si>
    <t>DP: Assess ShieldTech Vietnam threat — maintain phased approach or accelerate Vietnamese engagement.</t>
  </si>
  <si>
    <t>$5M JV legal and structuring costs</t>
  </si>
  <si>
    <t>Adv: Framework agreement locks in Philippine partnership before ShieldTech can replicate. Dis: ShieldTech's existing distribution enables faster Vietnam entry.</t>
  </si>
  <si>
    <t>ShieldTech's Vietnam partnership terms, pricing, and timeline unknown.</t>
  </si>
  <si>
    <t>Supplier Partnership Network Established (Milestone K)</t>
  </si>
  <si>
    <t>Formalize supply chain with four regional suppliers; execute logistics partnership agreements.</t>
  </si>
  <si>
    <t>South China Sea tensions escalate; Philippine and Vietnamese procurement urgency increases significantly.</t>
  </si>
  <si>
    <t>Brief both governments on Sentinel's ability to accelerate delivery timelines using production automation milestone.</t>
  </si>
  <si>
    <t>$4M supply chain formalization</t>
  </si>
  <si>
    <t>DoD Endorsement Obtained (Milestone T)</t>
  </si>
  <si>
    <t>Secure Indo-Pacific Command formal endorsement for Sentinel climate vehicle in FMS security cooperation plans.</t>
  </si>
  <si>
    <t>State Dept requests additional technology safeguard assurances before approving JV technology transfer scope.</t>
  </si>
  <si>
    <t>Present CMMC Level 3 certification and IP protection protocols to State Dept legal team.</t>
  </si>
  <si>
    <t>DP #8: Confirm DoD endorsement before scaling sales commitments — confirmed, proceed to JV execution.</t>
  </si>
  <si>
    <t>$2M government relations; compliance legal team</t>
  </si>
  <si>
    <t>Adv: DoD endorsement is a decisive differentiator no competitor can replicate. Dis: State Dept safeguard demands may narrow JV technology transfer scope.</t>
  </si>
  <si>
    <t>State Dept final technology transfer approval scope not yet confirmed.</t>
  </si>
  <si>
    <t>JV Legal Documentation</t>
  </si>
  <si>
    <t>Execute JV legal agreements, technology transfer protocols, and production licensing arrangements.</t>
  </si>
  <si>
    <t>Philippine partner requests expanded technology transfer scope beyond board-approved parameters.</t>
  </si>
  <si>
    <t>$3M legal documentation; executive oversight</t>
  </si>
  <si>
    <t>Philippine partner's minimum acceptable technology transfer threshold uncertain.</t>
  </si>
  <si>
    <t>JV Board Approval</t>
  </si>
  <si>
    <t>Secure Sentinel board approval for JV capital contribution and final technology transfer terms.</t>
  </si>
  <si>
    <t>Ironclad Dynamics announces expanded Southeast Asian production capacity, signaling intent to compete on delivery speed.</t>
  </si>
  <si>
    <t>Brief board on Ironclad threat; reinforce urgency of JV completion before Ironclad establishes regional footprint.</t>
  </si>
  <si>
    <t>$25M JV capital contribution approved</t>
  </si>
  <si>
    <t>Adv: Board approval secures long-term capital commitment. Dis: Ironclad's production expansion threatens Sentinel's speed advantage.</t>
  </si>
  <si>
    <t>Ironclad's specific Southeast Asian production capacity and timeline uncertain.</t>
  </si>
  <si>
    <t>Joint Venture Formed (Milestone J)</t>
  </si>
  <si>
    <t>Operationalize Philippine JV; initiate in-country assembly and local production capability transfer.</t>
  </si>
  <si>
    <t>Vietnamese government formally issues RFP for armored vehicles; cites Sentinel's Philippine JV as preferred partnership model.</t>
  </si>
  <si>
    <t>Activate Sequel #18 — initiate Vietnamese market entry using Philippine JV as replicable template.</t>
  </si>
  <si>
    <t>$25M JV capital; production transfer team deployed</t>
  </si>
  <si>
    <t>Vietnamese RFP specifications, offset requirements, and award timeline uncertain.</t>
  </si>
  <si>
    <t>Adv: Physical presence signals long-term commitment. Dis: Trust-building requires 12–24 months minimum.</t>
  </si>
  <si>
    <t>Adv: Early State Dept engagement builds familiarity. Dis: 24–28 month timeline compresses entry windows.</t>
  </si>
  <si>
    <t>State Dept end-use certification requirements not fully defined.</t>
  </si>
  <si>
    <t>Adv: Philippine urgency creates favorable procurement climate. Dis: Congressional distraction may slow FMS processing support.</t>
  </si>
  <si>
    <t>Adv: Signed MOU validates partnership approach. Dis: Aegis demonstration threatens to reopen Philippine evaluation.</t>
  </si>
  <si>
    <t>Philippine officials indicate they will evaluate all options before signing a binding contract.</t>
  </si>
  <si>
    <t>$500K CEO travel; board preparation; legal team</t>
  </si>
  <si>
    <t>Vietnamese officials observe Philippine deployment; accelerate their own procurement timeline.</t>
  </si>
  <si>
    <t>Adv: Visible support capability differentiates Sentinel from competitors. Dis: Infrastructure costs precede first contract revenue.</t>
  </si>
  <si>
    <t>Vietnamese procurement budget cycle and RFP timeline unclear.</t>
  </si>
  <si>
    <t>Chinese suppliers offer 15% lower component pricing, creating pressure on cost structure.</t>
  </si>
  <si>
    <t>Emphasize ITAR compliance and DoD certification requirements that exclude Chinese components.</t>
  </si>
  <si>
    <t>Adv: ITAR compliance is a built-in competitive barrier. Dis: Compliant component premium pressures margin.</t>
  </si>
  <si>
    <t>Extent to which SE Asian partners accept ITAR-compliant sourcing requirements uncertain.</t>
  </si>
  <si>
    <t>Adv: Escalating tensions increase procurement urgency and strategic relevance. Dis: Accelerated delivery demands may strain capacity before automation is fully deployed.</t>
  </si>
  <si>
    <t>Exact production acceleration capability before Dec 2032 automation milestone uncertain.</t>
  </si>
  <si>
    <t>Maintain IP protection boundaries; offer enhanced training and maintenance support as alternative value.</t>
  </si>
  <si>
    <t>Adv: Firm IP boundaries protect long-term competitive advantage. Dis: Partner disappointment on technology scope may slow momentum.</t>
  </si>
  <si>
    <t>Sequel #18: JV complete — initiate in-country assembly and Vietnamese market entry in Phase 3.</t>
  </si>
  <si>
    <t>Adv: Philippine JV creates replicable regional expansion model. Dis: Simultaneous JV execution and Vietnamese RFP response strains leadership bandwidth and capital.</t>
  </si>
  <si>
    <t>1.</t>
  </si>
  <si>
    <t>2.</t>
  </si>
  <si>
    <t>3.</t>
  </si>
  <si>
    <t>4.</t>
  </si>
  <si>
    <t>5.</t>
  </si>
  <si>
    <t>6.</t>
  </si>
  <si>
    <t>7.</t>
  </si>
  <si>
    <t>8.</t>
  </si>
  <si>
    <t>9.</t>
  </si>
  <si>
    <t>10.</t>
  </si>
  <si>
    <t>Integrated Priority List (IPL) Table</t>
  </si>
  <si>
    <t>1 (a, b, c, d)</t>
  </si>
  <si>
    <t>7(q, s, r); 9(v, w)</t>
  </si>
  <si>
    <t>Negligible</t>
  </si>
  <si>
    <t>Control Type</t>
  </si>
  <si>
    <t>Educational</t>
  </si>
  <si>
    <t>Physical</t>
  </si>
  <si>
    <t>Elimination</t>
  </si>
  <si>
    <t>Provides knowledge and skills, including training, to enable the organization to manage risk.</t>
  </si>
  <si>
    <t xml:space="preserve">Takes the form of barriers that reduce the probability and the impact of the existing risk. </t>
  </si>
  <si>
    <t xml:space="preserve">Includes positive actions, such as increasing agility and flexibility, to prevent exposure to the risk, preferably from its source. </t>
  </si>
  <si>
    <t>Very Likely</t>
  </si>
  <si>
    <t>Risk Matrix</t>
  </si>
  <si>
    <t>Exremely High (EH)</t>
  </si>
  <si>
    <t>U.S. Budget Acceleration</t>
  </si>
  <si>
    <t>U.S. defense cuts accelerate faster and deeper than projected, collapsing domestic revenue.</t>
  </si>
  <si>
    <t>Maintain Made-in-America Brand; Deploy Next-Generation Vehicle</t>
  </si>
  <si>
    <t>Revenue collapses before SEA market matures</t>
  </si>
  <si>
    <t>DoD contracts reduced or cancelled</t>
  </si>
  <si>
    <t>Federal sequestration or continuing resolution</t>
  </si>
  <si>
    <t>Accelerate Phase 1 SEA milestones to reduce dependency</t>
  </si>
  <si>
    <t>Export License Delay</t>
  </si>
  <si>
    <t>ITAR/FMS approvals exceed 36 months, delaying Southeast Asian market entry.</t>
  </si>
  <si>
    <t>Competitor captures first-mover market position</t>
  </si>
  <si>
    <t>State Dept backlog stalls ITAR/FMS processing</t>
  </si>
  <si>
    <t>Regulatory complexity and insufficient advocacy</t>
  </si>
  <si>
    <t>Congressional advocacy and State Dept pre-coordination</t>
  </si>
  <si>
    <t>Nation-State Cyber Breach</t>
  </si>
  <si>
    <t>Nation-state actor compromises Sentinel's proprietary armor technology and manufacturing IP.</t>
  </si>
  <si>
    <t>Armor specifications stolen; competitive advantage lost</t>
  </si>
  <si>
    <t>Network intrusion exploits unpatched vulnerabilities</t>
  </si>
  <si>
    <t>Nation-state espionage targeting defense IP</t>
  </si>
  <si>
    <t>Deploy SOC and achieve CMMC Level 3 certification</t>
  </si>
  <si>
    <t>Automation Cost Overrun</t>
  </si>
  <si>
    <t>Robotic assembly deployment exceeds phased budget, stalling dual-market production.</t>
  </si>
  <si>
    <t>Dual-market production delayed or underfunded</t>
  </si>
  <si>
    <t>Vendor overruns exceed phased budget allocation</t>
  </si>
  <si>
    <t>Immature automation technology or scope creep</t>
  </si>
  <si>
    <t>Fixed-price vendor contracts with milestone payments</t>
  </si>
  <si>
    <t>SEA Partner Defection</t>
  </si>
  <si>
    <t>Key regional partner withdraws from joint venture before contract execution.</t>
  </si>
  <si>
    <t>JV collapses; $29M investment at risk</t>
  </si>
  <si>
    <t>Partner aligns with competitor's offset terms</t>
  </si>
  <si>
    <t>Competitor undercutting technology transfer terms</t>
  </si>
  <si>
    <t>Multi-partner MOU structure across three nations</t>
  </si>
  <si>
    <t>Climate Vehicle Delay</t>
  </si>
  <si>
    <t>Tropical engineering failures extend climate vehicle development beyond 2028 deadline.</t>
  </si>
  <si>
    <t>FOC missed; SEA procurement window closed</t>
  </si>
  <si>
    <t>Thermal testing fails tropical specifications</t>
  </si>
  <si>
    <t>Insufficient tropical R&amp;D expertise or investment</t>
  </si>
  <si>
    <t>Hire specialized tropical climate engineering team</t>
  </si>
  <si>
    <t>Workforce Skill Shortage</t>
  </si>
  <si>
    <t>Insufficient skilled labor constrains dual-market production during automation transition.</t>
  </si>
  <si>
    <t>Automate Production Systems; Maintain Made-in-America Brand</t>
  </si>
  <si>
    <t>Production delays jeopardize dual-market fulfillment</t>
  </si>
  <si>
    <t>Automation displaces workers faster than reskilling</t>
  </si>
  <si>
    <t>National manufacturing workforce shortage</t>
  </si>
  <si>
    <t>Workforce Transition Program and reskilling initiative</t>
  </si>
  <si>
    <t>FCPA Violation</t>
  </si>
  <si>
    <t>Employee engages in bribery to secure Southeast Asian procurement contract.</t>
  </si>
  <si>
    <t>DOJ prosecution; penalty; market exclusion</t>
  </si>
  <si>
    <t>Undisclosed payments made to procurement officials</t>
  </si>
  <si>
    <t>Cultural bribery norms in relationship-based markets</t>
  </si>
  <si>
    <t>Mandatory FCPA training with annual recertification</t>
  </si>
  <si>
    <t>Competitor First-Mover</t>
  </si>
  <si>
    <t>Aegis Armorworks secures exclusive SEA offset agreements before Sentinel establishes presence.</t>
  </si>
  <si>
    <t>Build Partnership Network; Deploy Climate-Adapted Vehicle</t>
  </si>
  <si>
    <t>Sentinel loses preferred supplier status in key nations</t>
  </si>
  <si>
    <t>Competitor secures exclusive offset agreements first</t>
  </si>
  <si>
    <t>Aegis Armorworks 18–24 month aggressive SEA entry</t>
  </si>
  <si>
    <t>Accelerate SEA Division establishment ahead of schedule</t>
  </si>
  <si>
    <t>U.S. Policy Restriction</t>
  </si>
  <si>
    <t>U.S. foreign policy shifts restrict FMS approvals for target Southeast Asian nations.</t>
  </si>
  <si>
    <t>Market access denied; $430M CONOP stranded</t>
  </si>
  <si>
    <t>State Dept revokes FMS approvals for target nations</t>
  </si>
  <si>
    <t>Deteriorating U.S. bilateral relations with SEA nations</t>
  </si>
  <si>
    <t>Pursue three target nations simultaneously</t>
  </si>
  <si>
    <t>Residual Consequence</t>
  </si>
  <si>
    <t>Residual Probability</t>
  </si>
  <si>
    <t>Residucal Risk Level</t>
  </si>
  <si>
    <t>The CEO and Phase 1 team reprioritize milestones o, p, v, and w within the existing $430M cap, costing less than a 20% DoD revenue loss; leadership has authority to enforce reprioritization, the team has capacity to execute, and the staff are willing to comply; reduces consequence from Critical to Moderate, lowering risk from High to Medium.</t>
  </si>
  <si>
    <t>The Government Relations team executes the $2.5M advocacy program, costing less than losing first-mover position; the team has established congressional access and authority to engage; staff are trained, willing, and capable of sustaining the effort; reduces initial risk from High to Medium.</t>
  </si>
  <si>
    <t>The IT Security team deploys the $12.5M SOC and achieves CMMC Level 3 certification, costing less than catastrophic IP loss; board-level authority compels compliance; technically capable staff sustain certification and monitoring; reduces risk from High to Medium.</t>
  </si>
  <si>
    <t>The Procurement team executes fixed-price contracts with milestone-based payments, costing less than production delays; legal authority enforces penalty clauses; vendors are contractually obligated and capable of compliance; reduces consequence from Critical to Moderate, lowering risk from High to Medium.</t>
  </si>
  <si>
    <t>The SE Asia Division executes MOUs across the Philippines, Vietnam, and Indonesia within the SE Asia Market Program budget, costing less than a $29M JV collapse; Division leadership has authority to negotiate; relationship managers are trained and capable; reduces risk from Medium to Low.</t>
  </si>
  <si>
    <t>R&amp;D leadership recruits specialized tropical engineers within the Climate Vehicle Program budget, costing less than missing the 2028 procurement window; hiring authority is established; qualified engineers are available in the market and capable of meeting specifications; reduces risk from Medium to Low.</t>
  </si>
  <si>
    <t>HR leadership mandates the $8M Workforce Transition Program, costing less than dual-market contract penalties; HR has authority to require participation; employees have demonstrated willingness and capability to reskill; reduces consequence from Critical to Moderate, lowering risk from High to Medium.</t>
  </si>
  <si>
    <t>The Compliance Office enforces mandatory FCPA certification across all applicable staff, costing less than DOJ prosecution and market exclusion; the office has authority to compel completion; employees are capable and self-disciplined enough to comply; reduces risk from Medium to Low.</t>
  </si>
  <si>
    <t>The CEO and SE Asia Division accelerate milestones o, p, and h within the SE Asia Market Program budget, costing less than losing preferred supplier status; CEO has authority to reprioritize; Division team has capacity and willingness to execute early; reduces consequence from Critical to Moderate, lowering risk from High to Medium.</t>
  </si>
  <si>
    <t>The SE Asia Division simultaneously engages the Philippines, Vietnam, and Indonesia within the SE Asia Market Program budget, costing less than a full CONOP failure; Division leadership has authority and staff for parallel engagement; teams are capable and resourced; maintains risk at Medium as the catastrophic consequence cannot be reduced through diversification alone.</t>
  </si>
  <si>
    <t>Blank</t>
  </si>
  <si>
    <t>Vehicle performance failures in Southeast Asian environments validate climate adaptation as mandatory requirement. (Track vehicle breakdown rates in tropical deployments; monitor RFP specifications requiring climate certifications; count contract awards citing tropical capability as selection criterion.)</t>
  </si>
  <si>
    <t>Manufacturing labor shortages intensify beyond current projections, forcing automation investments. (Monitor skilled manufacturing wage inflation rates (&gt;15% annually signals crisis); track defense industry job vacancy duration (&gt;180 days signals acute shortage); measure automation equipment orders by defense contractors.)</t>
  </si>
  <si>
    <t>Anti-corruption enforcement intensifies with major prosecutions of defense contractors. (Count DOJ FCPA investigations in defense sector annually; track average penalty amounts (&gt;$100M signals escalation); monitor debarment actions against contractors for foreign bribery.)</t>
  </si>
  <si>
    <t>Nation-state cyber campaigns against defense contractors increase in frequency and sophistication. (Track publicly disclosed defense contractor breaches quarterly; monitor cyber insurance premium increases for defense sector; count government-mandated cybersecurity standard upgrades (CMMC levels).)</t>
  </si>
  <si>
    <t>Southeast Asian contract awards consistently favor manufacturers with multi-year local presence. (Measure average time from market entry to first contract award; track percentage of contracts won by companies with local offices vs. remote bidders; monitor joint venture formation rates.)</t>
  </si>
  <si>
    <t>Artificial intelligence achieves operational military viability milestones ahead of projections. (Monitor DoD AI R&amp;D budget increases (&gt;30% annually signals acceleration); track operational AI system deployments by military; count defense RFPs specifying AI requirements; measure venture capital investment in defense AI startups.)</t>
  </si>
  <si>
    <t>Military customers begin awarding contracts for autonomous or optionally-manned platforms. (Track contract awards for autonomous systems (&gt;$1B signals mainstream adoption); monitor RFP language requiring autonomous capabilities; count prototype demonstrations to military customers.)</t>
  </si>
  <si>
    <t>Drone proliferation drives universal adoption of active protection as baseline requirement. (Count RFPs mandating active protection systems; track active protection integration announcements by manufacturers; monitor drone incident reports driving policy changes; measure active protection system market size growth.)</t>
  </si>
  <si>
    <t>Additive manufacturing and automation achieve dramatic cost reductions validating transformation. (Monitor defense industry automation investment levels (&gt;$5B annually signals acceleration); track reported cost reduction percentages from digital manufacturing; count facilities transitioning to lights-out production.)</t>
  </si>
  <si>
    <t>State Department classifies AI and autonomous technologies as sensitive, restricting exports. (Track ITAR classification additions for emerging technologies; monitor export license denial rates for AI/autonomous systems; count Congressional hearings on technology transfer risks.)</t>
  </si>
  <si>
    <t>Frequency and severity of maritime confrontations between China and Southeast Asian nations escalate. (Count military incidents monthly (&gt;3 per quarter signals escalation); track casualties from confrontations; monitor duration of elevated alert statuses; measure diplomatic protest frequency.)</t>
  </si>
  <si>
    <t>Southeast Asian governments implement emergency procurement outside normal budget cycles. (Track defense budget increases &gt;20% year-over-year; count emergency appropriations; monitor procurement timeline compression (normal 5-year to &lt;24 months signals urgency); measure contract awards bypassing offset requirements.)</t>
  </si>
  <si>
    <t>Permanent U.S. military deployments and base access agreements increase across region. (Count new U.S. base access agreements; track U.S. military personnel stationed in Southeast Asia; monitor joint exercise frequency and scale increases; measure defense cooperation agreement signings.)</t>
  </si>
  <si>
    <t>State Department prioritizes Southeast Asian export approvals with dramatically reduced timelines. (Track average export license approval duration for Southeast Asian sales; monitor State Department policy announcements on allied nation prioritization; count expedited license approvals.)</t>
  </si>
  <si>
    <t>China implements strategic material export controls targeting defense supply chains. (Monitor rare earth export volume restrictions; track pricing spikes for strategic materials; count alternative supplier development initiatives; measure stockpiling activities by governments.)</t>
  </si>
  <si>
    <t>Economic indicators signal impending regional financial crisis. (Monitor sovereign debt-to-GDP ratios exceeding 80%; track currency depreciation &gt;30% annually; count IMF consultation requests; measure capital flight volumes; watch infrastructure project default rates.)</t>
  </si>
  <si>
    <t>Economic crisis forces Southeast Asian governments to slash military spending. (Track defense budget cuts &gt;20% year-over-year; count contract cancellations or suspensions; monitor procurement freeze announcements; measure payment delays on existing contracts (&gt;90 days signals distress).)</t>
  </si>
  <si>
    <t>Civil conflict and extremism spread beyond containment. (Count terrorist incidents quarterly; monitor internally displaced persons volumes; track government emergency declarations; measure coup attempts or successful regime changes; watch Western military cooperation suspensions.)</t>
  </si>
  <si>
    <t>Authoritarian consolidation replaces democratic governance across region. (Track Freedom House democracy scores declining; count military coups or emergency rule implementations; monitor election cancellations or irregularities; measure opposition leader arrests; watch media freedom restrictions.)</t>
  </si>
  <si>
    <t>Cross-strait tensions threaten semiconductor supply chains. (Monitor Taiwan military alert levels; track semiconductor manufacturer contingency planning announcements; count supply chain diversification initiatives away from Taiwan; measure TSMC stock volatility; watch U.S. policy announcements on Taiwan defense.)</t>
  </si>
  <si>
    <t>Chinese defense manufacturers systematically displace U.S. competitors in Southeast Asia. (Track Chinese defense contract award percentages in Southeast Asia; count debt-for-procurement arrangements; monitor ASEAN-China military cooperation agreements; measure U.S. manufacturer market share decline.)</t>
  </si>
  <si>
    <t>Future Modeling: Core Future</t>
  </si>
  <si>
    <t>Future Modeling: Future Alt #1</t>
  </si>
  <si>
    <t>Future Modeling: Future Alt #2</t>
  </si>
  <si>
    <t>Future Modeling: Plausible Future</t>
  </si>
  <si>
    <t>Patent filings</t>
  </si>
  <si>
    <t>Increased production rates</t>
  </si>
  <si>
    <t>Market entry in new regions</t>
  </si>
  <si>
    <t>New supplier contracts</t>
  </si>
  <si>
    <t>R&amp;D announcements</t>
  </si>
  <si>
    <t>Assess FCPA training certification rates to confirm compliance readiness before engaging Southeast Asian government partners. (From 01-Apr-2028 to 30-Jun-2028)</t>
  </si>
  <si>
    <t>Evaluate CMMC Level 3 progress to confirm cyber readiness before initiating sensitive partner negotiations. (From 01-Oct-2028 to 31-Dec-2028)</t>
  </si>
  <si>
    <t>Assess export license approval progress to confirm regulatory access before committing to Phase 3 investments. (From 01-Oct-2029 to 31-Dec-2029)</t>
  </si>
  <si>
    <t>Assess DoD endorsement status to confirm U.S. military advocacy before scaling Southeast Asian sales commitments. (From 01-Apr-2030 to 30-Jun-2030)</t>
  </si>
  <si>
    <t>Evaluate production automation deployment to confirm dual-market capacity before committing to climate vehicle deliveries. (From 01-Oct-2030 to 31-Dec-2030)</t>
  </si>
  <si>
    <t>Assess competitive threat to determine whether to accelerate joint venture formation ahead of schedule. (From 01-Jun-2029 to 31-Oct-2029)</t>
  </si>
  <si>
    <t>CMMC Level 3 Progress</t>
  </si>
  <si>
    <t>Export License Approval Progress</t>
  </si>
  <si>
    <t>FCPATraining Certification Rates</t>
  </si>
  <si>
    <t>DoD Endorsement Status</t>
  </si>
  <si>
    <t>Production Automation Deployment</t>
  </si>
  <si>
    <t>Compettive Threats</t>
  </si>
  <si>
    <t>U.S. DoD Dominance Maintained</t>
  </si>
  <si>
    <t>Sustainable Southeast Asian Market Presence Established</t>
  </si>
  <si>
    <t>Aim Measured</t>
  </si>
  <si>
    <t>Strategic Goal i.: U.S. DoD Dominance Retention</t>
  </si>
  <si>
    <t>Strategic Goal ii.: U.S. DoD Dominance Retention</t>
  </si>
  <si>
    <t>Strategic Goal iii.: Southeast Asian Market Entry</t>
  </si>
  <si>
    <t>Strategic Goal iv.: Market Environment Preparation</t>
  </si>
  <si>
    <t>Strategic Goal v.: Dual-Market Production Capacity</t>
  </si>
  <si>
    <t>Objective i.: Deploy Climate-Adapted Vehicle</t>
  </si>
  <si>
    <t>Objective ii.: Deploy Climate-Adapted Vehicle</t>
  </si>
  <si>
    <t>Objective iii.: Deploy Next-Generation Vehicle</t>
  </si>
  <si>
    <t>Objective iv.: Maintain Made-in America Brand</t>
  </si>
  <si>
    <t>Objective ix.: Maintain Made-in America Brand</t>
  </si>
  <si>
    <t>Objective v.: Build Partnership Network</t>
  </si>
  <si>
    <t>Objective vi.: Build Partnership Network</t>
  </si>
  <si>
    <t>Objective vii.: Build Partnership Network</t>
  </si>
  <si>
    <t>Objective viii.: Establish Southeast Asian Division</t>
  </si>
  <si>
    <t>Objective x.: Establish Southeast Asian Division</t>
  </si>
  <si>
    <t>Objective xi.: Secure Favorable Regulatory Environment</t>
  </si>
  <si>
    <t>Objective xii.: Secure Favorable Regulatory Environment</t>
  </si>
  <si>
    <t>Objective xiii.: Gain U.S. Military Advocacy</t>
  </si>
  <si>
    <t>Objective xiv.: Establish Export Compliance Office</t>
  </si>
  <si>
    <t>Objective xix.: Establish Export Compliance Office</t>
  </si>
  <si>
    <t>Objective xv.: Establish Export Compliance Office</t>
  </si>
  <si>
    <t>Objective xvi.: Automate Production Systems</t>
  </si>
  <si>
    <t>Objective xvii.: Automate Production Systems</t>
  </si>
  <si>
    <t>Objective xviii.: Automate Production Systems</t>
  </si>
  <si>
    <t>Objective xx.: Automate Production Systems</t>
  </si>
  <si>
    <t>Objective xxi.: Advanced Cyber Protection Infrastructure</t>
  </si>
  <si>
    <t>Key Activity i.: Regulatory Compliance Program</t>
  </si>
  <si>
    <t>Key Activity ii.: Regulatory Compliance Program</t>
  </si>
  <si>
    <t>Key Activity iii.: SE Asia Market Program</t>
  </si>
  <si>
    <t>Key Activity iv.: SE Asia Market Program</t>
  </si>
  <si>
    <t>Key Activity ix.: Climate Vehicle Development Program</t>
  </si>
  <si>
    <t>Key Activity v.: Climate Vehicle Development Program</t>
  </si>
  <si>
    <t>Key Activity vi.: Production Automation Initiative</t>
  </si>
  <si>
    <t>Key Activity vii.: Production Automation Initiative</t>
  </si>
  <si>
    <t>Key Activity viii.: Next-Gen Vehicle Program</t>
  </si>
  <si>
    <t>Key Activity x.: Next-Gen Vehicle Program</t>
  </si>
  <si>
    <t>Key Activity xi.: Cyber Defense Program</t>
  </si>
  <si>
    <t>Key Activity xii.: Cyber Defense Program</t>
  </si>
  <si>
    <t>Key Activity xiii.: Made-in-America Brand Program</t>
  </si>
  <si>
    <t>1).</t>
  </si>
  <si>
    <t>2).</t>
  </si>
  <si>
    <t>3).</t>
  </si>
  <si>
    <t>4).</t>
  </si>
  <si>
    <t>5).</t>
  </si>
  <si>
    <t>6).</t>
  </si>
  <si>
    <t>7).</t>
  </si>
  <si>
    <t>Military Leadership and Decision-Making Processes</t>
  </si>
  <si>
    <t>9S Internal Alignment Model</t>
  </si>
  <si>
    <t>System-of-System's Perspective</t>
  </si>
  <si>
    <t>Revenue Streams Diversified, Protecting Against Budget Volatility</t>
  </si>
  <si>
    <t>Problem Framing</t>
  </si>
  <si>
    <t>Modified Trend Prioritization Matrix</t>
  </si>
  <si>
    <t>The environment is enabling market access to Southeast Asia through a supportive regulatory environment, approved export licenses, and U.S. and Southeast Asian Nation partnerships.</t>
  </si>
  <si>
    <t>Construct Advanced Cyber Protection Infrastructure</t>
  </si>
  <si>
    <t>Modified Trend Prioritization Table</t>
  </si>
  <si>
    <t>10 Phases of Strategy Development Process (SDP)</t>
  </si>
  <si>
    <t xml:space="preserve"> Strategy, Operational, &amp; Assessment Architectures Alignment</t>
  </si>
  <si>
    <t>CONOP Sketch</t>
  </si>
  <si>
    <t>Receive the Task</t>
  </si>
  <si>
    <t>Define the Strategic Issue Statement</t>
  </si>
  <si>
    <t>Scan Environment</t>
  </si>
  <si>
    <t>Diagram the Network</t>
  </si>
  <si>
    <t>Determine Courses of Actions (COA)</t>
  </si>
  <si>
    <t>Inventory Current Capabilites</t>
  </si>
  <si>
    <t>Identify New Capability Requirements</t>
  </si>
  <si>
    <t>Analyze Capability Gaps</t>
  </si>
  <si>
    <t>Develop Solutions</t>
  </si>
  <si>
    <t>Analyze the COG</t>
  </si>
  <si>
    <t>Identify MOEs</t>
  </si>
  <si>
    <t>Identify Milestones</t>
  </si>
  <si>
    <t>Synchronize the CONOP</t>
  </si>
  <si>
    <t>Evaluate the CONOP</t>
  </si>
  <si>
    <t>Determine Available Means</t>
  </si>
  <si>
    <t>Estimate Means Shortfalls</t>
  </si>
  <si>
    <t>Situation</t>
  </si>
  <si>
    <t>Ends</t>
  </si>
  <si>
    <t>Ways</t>
  </si>
  <si>
    <t>Risk</t>
  </si>
  <si>
    <t>A directive that provides essential guidance and directs the development, adaptation, or refinement of a plan or order.</t>
  </si>
  <si>
    <t>A concise, realistic description of the organization’s primary purpose, focusing on its current and future daily operations.</t>
  </si>
  <si>
    <t>An ambitious, aspirational description of an organization’s ideal future state that provides purpose, direction, and motivation for action.</t>
  </si>
  <si>
    <t>Unchanging foundational principles that guide how an organization carries out its mission.</t>
  </si>
  <si>
    <t>The fundamental, enduring conditions of the environment that an actor chooses to pursue.</t>
  </si>
  <si>
    <t>Stronger interest for one alternative over another</t>
  </si>
  <si>
    <t>The framing of the strategic issue as a question, combined with the time horizon for when the developed strategy should resolve it</t>
  </si>
  <si>
    <t>External boundary with sufficient space wherein the actor employs or is expected to employ its activities.</t>
  </si>
  <si>
    <t xml:space="preserve">The composite of all conditions, circumstances, and influences arising from variables, relationships, and interactions that affect the operational area, notably the actor and its activities. </t>
  </si>
  <si>
    <t>MT&amp;L Table</t>
  </si>
  <si>
    <t>FAO Table</t>
  </si>
  <si>
    <t>1. Task Analysis Table</t>
  </si>
  <si>
    <t>CIRT Table</t>
  </si>
  <si>
    <t>2.2. Analyze Current State</t>
  </si>
  <si>
    <t>2.4. Identify Key Drivers</t>
  </si>
  <si>
    <t>2.3. Assess the Drivers</t>
  </si>
  <si>
    <t>2. Motivations, Tasks, and Limitations (MT&amp;L) Table</t>
  </si>
  <si>
    <t>1.2. Analyze Guidance</t>
  </si>
  <si>
    <t>3. Facts, Assumptions, &amp; Opinions (FAO) Table</t>
  </si>
  <si>
    <t>1.4. Identify Facts and Assumptions</t>
  </si>
  <si>
    <t>4. Critical Information Requirements Table (CIRT)</t>
  </si>
  <si>
    <t>1.5. Develop Initial Information Requirements</t>
  </si>
  <si>
    <t>PESTLES Table</t>
  </si>
  <si>
    <t>2.2. Analyze the Current State</t>
  </si>
  <si>
    <t>3.2. Select Trends</t>
  </si>
  <si>
    <t>Modified Prioritized Trend Table</t>
  </si>
  <si>
    <t>Futures Table - Alternative #1</t>
  </si>
  <si>
    <t xml:space="preserve">Futures Table - Core	</t>
  </si>
  <si>
    <t>Futures Table -  Plausible</t>
  </si>
  <si>
    <t>Futures Table -  Alternative #2</t>
  </si>
  <si>
    <t>SWOG Analysis Table</t>
  </si>
  <si>
    <t>6.1. Conduct SWOT Assessment</t>
  </si>
  <si>
    <t>Future Tables</t>
  </si>
  <si>
    <t>SWOT Table</t>
  </si>
  <si>
    <t>Actor Classification</t>
  </si>
  <si>
    <t xml:space="preserve">Possess the will and capability, or the current or future potential, to challenge the organization. </t>
  </si>
  <si>
    <t>Support the organization through informal or formal relationships, providing mutual benefits.</t>
  </si>
  <si>
    <t>Derive benefits from their relationship with the organization but provide no benefits in return.</t>
  </si>
  <si>
    <t>Actor Disposition</t>
  </si>
  <si>
    <t>Show no interest in deliberately hindering, supporting, or helping operations—they pursue independent objectives that are neither aligned with nor opposed to the organization's interests.</t>
  </si>
  <si>
    <t>Provide support without formal commitments to the helping organization—often beneficiaries who, with strategic persuasion, could become patrons.</t>
  </si>
  <si>
    <t>Commit to helping the organization by providing resources, creating favorable conditions, or actively advocating for strategic objectives.</t>
  </si>
  <si>
    <t>Deliberately hinder the organization, typically as competitors whose interests or actions run counter to its objectives.</t>
  </si>
  <si>
    <t>4.1. Diagram the Network</t>
  </si>
  <si>
    <t>4.2. Assess the Network</t>
  </si>
  <si>
    <t>4.3. Identify Strategic Goals</t>
  </si>
  <si>
    <t>4.4. Determine Courses of Actions (COAs)</t>
  </si>
  <si>
    <t>4.5. Update Information Requiremetns</t>
  </si>
  <si>
    <t>Capability-Based Analysis (CBA) Table</t>
  </si>
  <si>
    <t xml:space="preserve">Attained when an organization has acquired some of the intended capabilities that enable it to meet the minimum abilities of its operational requirements. </t>
  </si>
  <si>
    <t xml:space="preserve">Attained when the organization has acquired all intended capabilities that enable it to meet all operational requirements and employ and maintain them.  </t>
  </si>
  <si>
    <t>5.1. Inventory Current Capabilites and 5.2 Inventory New Capabilities</t>
  </si>
  <si>
    <t>5.2. Identify New Capability Requirements</t>
  </si>
  <si>
    <t>A competitive advantage that must also be inimitable, non-substitutable, and immobile.</t>
  </si>
  <si>
    <t>Appropriable, valuable, and rare capability that the organization can temporarily leverage to outperform competitors in a specific and limited way within the same operational area.</t>
  </si>
  <si>
    <t>Inability to achieve an objective due to the inability to operate the capability, often caused by inadequate training and education.</t>
  </si>
  <si>
    <t>Inability to achieve an objective due to insufficient means to sustain the capability for the needed period, often caused by constrained logistics or means.</t>
  </si>
  <si>
    <t>Not having that capability, or having it, but it requires significant improvement over current requirements, possibly due to a change in strategy</t>
  </si>
  <si>
    <t>Due to the aging of a fielded capability solution (e.g., technological obsolescence, end-of-life).</t>
  </si>
  <si>
    <t>Inability to use the capability as needed due to policy constraints.</t>
  </si>
  <si>
    <t>SWOT and CBA Table</t>
  </si>
  <si>
    <t>Priortize Solutions</t>
  </si>
  <si>
    <t>5.5. Priortize Solutions</t>
  </si>
  <si>
    <t>IPL</t>
  </si>
  <si>
    <t>6.2 Analyze the COG</t>
  </si>
  <si>
    <t>A set of strategic goals created to achieve success in the stable baseline environment.</t>
  </si>
  <si>
    <t>A set of strategic goals created to safeguard against exogenous contingencies.</t>
  </si>
  <si>
    <t>A set of strategic goals created to influence and maneuver within a more preferred environment to better achieve success.</t>
  </si>
  <si>
    <t>A specific outcome that directly targets the achievement of ≥1 strategic goal.</t>
  </si>
  <si>
    <t>Allows the organization to better support the success of ≥1 main objective.</t>
  </si>
  <si>
    <t>Indicators</t>
  </si>
  <si>
    <t>Indicator that evaluates the effects of objectives involving temporary efforts by measuring their output over time.</t>
  </si>
  <si>
    <t xml:space="preserve">Mission-essential information used to continuously evaluate the effects of objectives involving indefinite effort by measuring their output over time. </t>
  </si>
  <si>
    <t>Temporary effort (≥2 years) to create, improve, and innovate a key capability (e.g., product, service) to support a strategy as measured by ≥1 key results (KRs).</t>
  </si>
  <si>
    <t>Indefinite effort essential to maintaining an existing key capability (e.g., product, service) to support the mission, as measured by ≥1 key performance indicators (KPIs).</t>
  </si>
  <si>
    <t>7.4 Align Organizational Features</t>
  </si>
  <si>
    <t>8.1. Identify Milestones</t>
  </si>
  <si>
    <t>8.4. Evaluate the CONOP</t>
  </si>
  <si>
    <t>Sync Table</t>
  </si>
  <si>
    <t>8.5. Simulate CONOP</t>
  </si>
  <si>
    <t>10.1 Plan and Target</t>
  </si>
  <si>
    <t>9.3. Identify Risk</t>
  </si>
  <si>
    <t>9.4. Mitigate Risk</t>
  </si>
  <si>
    <t>9.5. Decide and Implement</t>
  </si>
  <si>
    <t>10 years. This medium-term horizon provides sufficient time to establish government relationships, navigate complex regulatory environments, adapt vehicle systems to regional requirements, build manufacturing or partnership infrastructure, and generate sustainable revenue. It is long enough to address fundamental market-entry challenges and environmental shifts, yet short enough to maintain plausible futures and actionable planning. Defense market entry—particularly in international contexts requiring foreign military sales approvals, partnership development, and technology transfer considerations—demands this extended timeframe while avoiding the excessive uncertainty of longer horizons.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</si>
</sst>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409]d\-mmm\-yyyy;@"/>
    <numFmt numFmtId="165" formatCode="dd\-mmm\-yyyy"/>
    <numFmt numFmtId="166" formatCode="&quot;$&quot;#,##0"/>
    <numFmt numFmtId="167" formatCode="_(&quot;$&quot;* #,##0_);_(&quot;$&quot;* \(#,##0\);_(&quot;$&quot;* &quot;-&quot;??_);_(@_)"/>
  </numFmts>
  <fonts count="36" x14ac:knownFonts="1">
    <font>
      <sz val="12"/>
      <color theme="1"/>
      <name val="Calibri"/>
      <family val="2"/>
      <scheme val="minor"/>
    </font>
    <font>
      <sz val="8"/>
      <name val="Calibri"/>
      <family val="2"/>
      <scheme val="minor"/>
    </font>
    <font>
      <b/>
      <sz val="11"/>
      <color theme="0"/>
      <name val="Times New Roman"/>
      <family val="1"/>
    </font>
    <font>
      <sz val="11"/>
      <color theme="1"/>
      <name val="Times New Roman"/>
      <family val="1"/>
    </font>
    <font>
      <b/>
      <sz val="11"/>
      <color theme="1" tint="4.9989318521683403E-2"/>
      <name val="Times New Roman"/>
      <family val="1"/>
    </font>
    <font>
      <sz val="11"/>
      <color theme="1" tint="4.9989318521683403E-2"/>
      <name val="Times New Roman"/>
      <family val="1"/>
    </font>
    <font>
      <sz val="11"/>
      <color rgb="FF000000"/>
      <name val="Times New Roman"/>
      <family val="1"/>
    </font>
    <font>
      <b/>
      <sz val="11"/>
      <color theme="1"/>
      <name val="Times New Roman"/>
      <family val="1"/>
    </font>
    <font>
      <b/>
      <sz val="11"/>
      <name val="Times New Roman"/>
      <family val="1"/>
    </font>
    <font>
      <sz val="11"/>
      <name val="Times New Roman"/>
      <family val="1"/>
    </font>
    <font>
      <i/>
      <sz val="11"/>
      <color theme="1"/>
      <name val="Times New Roman"/>
      <family val="1"/>
    </font>
    <font>
      <sz val="11"/>
      <color rgb="FF000000"/>
      <name val="EB Garamond"/>
    </font>
    <font>
      <sz val="11"/>
      <color theme="1" tint="4.9989318521683403E-2"/>
      <name val="EB Garamond"/>
    </font>
    <font>
      <b/>
      <sz val="11"/>
      <color rgb="FF1080D6"/>
      <name val="EB Garamond"/>
    </font>
    <font>
      <sz val="11"/>
      <color rgb="FFFF0000"/>
      <name val="Times New Roman"/>
      <family val="1"/>
    </font>
    <font>
      <sz val="12"/>
      <color theme="1"/>
      <name val="Calibri"/>
      <family val="2"/>
      <scheme val="minor"/>
    </font>
    <font>
      <u/>
      <sz val="12"/>
      <color theme="10"/>
      <name val="Calibri"/>
      <family val="2"/>
      <scheme val="minor"/>
    </font>
    <font>
      <b/>
      <sz val="11"/>
      <color theme="0"/>
      <name val="EB Garamond"/>
    </font>
    <font>
      <sz val="11"/>
      <color theme="0"/>
      <name val="EB Garamond"/>
    </font>
    <font>
      <sz val="11"/>
      <color theme="1"/>
      <name val="EB Garamond"/>
    </font>
    <font>
      <u/>
      <sz val="12"/>
      <color theme="10"/>
      <name val="EB Garamond"/>
    </font>
    <font>
      <b/>
      <sz val="11"/>
      <color theme="1"/>
      <name val="EB Garamond"/>
    </font>
    <font>
      <sz val="10.5"/>
      <color theme="1"/>
      <name val="EB Garamond"/>
    </font>
    <font>
      <sz val="11"/>
      <color rgb="FFFF0000"/>
      <name val="EB Garamond"/>
    </font>
    <font>
      <b/>
      <sz val="11"/>
      <color theme="1" tint="4.9989318521683403E-2"/>
      <name val="EB Garamond"/>
    </font>
    <font>
      <sz val="11"/>
      <name val="EB Garamond"/>
    </font>
    <font>
      <b/>
      <sz val="11"/>
      <name val="EB Garamond"/>
    </font>
    <font>
      <sz val="12"/>
      <color theme="1"/>
      <name val="EB Garamond"/>
    </font>
    <font>
      <b/>
      <sz val="12"/>
      <color theme="1"/>
      <name val="EB Garamond"/>
    </font>
    <font>
      <b/>
      <sz val="12"/>
      <color theme="0"/>
      <name val="EB Garamond"/>
    </font>
    <font>
      <b/>
      <sz val="12"/>
      <color theme="0"/>
      <name val="Times New Roman"/>
      <family val="1"/>
    </font>
    <font>
      <b/>
      <sz val="11"/>
      <color rgb="FFFFFFFF"/>
      <name val="EB Garamond"/>
    </font>
    <font>
      <sz val="11"/>
      <color rgb="FFFFFFFF"/>
      <name val="EB Garamond"/>
    </font>
    <font>
      <b/>
      <sz val="11"/>
      <color theme="9" tint="0.79998168889431442"/>
      <name val="EB Garamond"/>
    </font>
    <font>
      <b/>
      <sz val="12"/>
      <color theme="9" tint="0.79998168889431442"/>
      <name val="EB Garamond"/>
    </font>
    <font>
      <sz val="11"/>
      <color rgb="FF000000"/>
      <name val="Garamond"/>
      <family val="1"/>
    </font>
  </fonts>
  <fills count="2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theme="4" tint="0.79998168889431442"/>
      </patternFill>
    </fill>
    <fill>
      <patternFill patternType="solid">
        <fgColor theme="1"/>
        <bgColor theme="1"/>
      </patternFill>
    </fill>
    <fill>
      <patternFill patternType="solid">
        <fgColor theme="1" tint="0.499984740745262"/>
        <bgColor indexed="64"/>
      </patternFill>
    </fill>
    <fill>
      <patternFill patternType="solid">
        <fgColor theme="0"/>
        <bgColor theme="4"/>
      </patternFill>
    </fill>
    <fill>
      <patternFill patternType="solid">
        <fgColor theme="0" tint="-0.499984740745262"/>
        <bgColor theme="1"/>
      </patternFill>
    </fill>
    <fill>
      <patternFill patternType="solid">
        <fgColor theme="9" tint="0.79998168889431442"/>
        <bgColor theme="6"/>
      </patternFill>
    </fill>
    <fill>
      <patternFill patternType="solid">
        <fgColor rgb="FF808080"/>
        <bgColor indexed="64"/>
      </patternFill>
    </fill>
    <fill>
      <patternFill patternType="solid">
        <fgColor theme="7" tint="0.59999389629810485"/>
        <bgColor indexed="64"/>
      </patternFill>
    </fill>
    <fill>
      <patternFill patternType="solid">
        <fgColor theme="7" tint="0.39997558519241921"/>
        <bgColor indexed="64"/>
      </patternFill>
    </fill>
  </fills>
  <borders count="157">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diagonal/>
    </border>
    <border>
      <left style="hair">
        <color auto="1"/>
      </left>
      <right/>
      <top style="hair">
        <color auto="1"/>
      </top>
      <bottom/>
      <diagonal/>
    </border>
    <border>
      <left style="hair">
        <color auto="1"/>
      </left>
      <right style="hair">
        <color auto="1"/>
      </right>
      <top/>
      <bottom style="hair">
        <color auto="1"/>
      </bottom>
      <diagonal/>
    </border>
    <border>
      <left/>
      <right style="hair">
        <color auto="1"/>
      </right>
      <top/>
      <bottom style="hair">
        <color auto="1"/>
      </bottom>
      <diagonal/>
    </border>
    <border>
      <left style="hair">
        <color auto="1"/>
      </left>
      <right/>
      <top/>
      <bottom style="hair">
        <color auto="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style="thin">
        <color theme="1"/>
      </right>
      <top style="thin">
        <color theme="1"/>
      </top>
      <bottom/>
      <diagonal/>
    </border>
    <border>
      <left style="thin">
        <color theme="1"/>
      </left>
      <right style="thin">
        <color theme="1"/>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4" tint="0.39997558519241921"/>
      </right>
      <top style="thin">
        <color theme="4" tint="0.39997558519241921"/>
      </top>
      <bottom/>
      <diagonal/>
    </border>
    <border>
      <left style="hair">
        <color auto="1"/>
      </left>
      <right style="hair">
        <color auto="1"/>
      </right>
      <top/>
      <bottom/>
      <diagonal/>
    </border>
    <border>
      <left style="thin">
        <color theme="1"/>
      </left>
      <right/>
      <top style="thin">
        <color theme="1"/>
      </top>
      <bottom/>
      <diagonal/>
    </border>
    <border>
      <left/>
      <right/>
      <top style="thin">
        <color theme="1"/>
      </top>
      <bottom/>
      <diagonal/>
    </border>
    <border>
      <left/>
      <right/>
      <top style="thin">
        <color theme="1"/>
      </top>
      <bottom style="thin">
        <color theme="1"/>
      </bottom>
      <diagonal/>
    </border>
    <border>
      <left/>
      <right style="hair">
        <color auto="1"/>
      </right>
      <top/>
      <bottom/>
      <diagonal/>
    </border>
    <border>
      <left style="hair">
        <color auto="1"/>
      </left>
      <right/>
      <top/>
      <bottom/>
      <diagonal/>
    </border>
    <border>
      <left style="hair">
        <color auto="1"/>
      </left>
      <right style="thin">
        <color theme="1"/>
      </right>
      <top style="thin">
        <color theme="1"/>
      </top>
      <bottom/>
      <diagonal/>
    </border>
    <border>
      <left style="hair">
        <color auto="1"/>
      </left>
      <right style="hair">
        <color theme="0"/>
      </right>
      <top/>
      <bottom/>
      <diagonal/>
    </border>
    <border>
      <left style="hair">
        <color theme="0"/>
      </left>
      <right style="hair">
        <color theme="0"/>
      </right>
      <top/>
      <bottom/>
      <diagonal/>
    </border>
    <border>
      <left style="hair">
        <color auto="1"/>
      </left>
      <right/>
      <top style="thin">
        <color theme="1"/>
      </top>
      <bottom/>
      <diagonal/>
    </border>
    <border>
      <left/>
      <right style="thin">
        <color theme="6"/>
      </right>
      <top style="thin">
        <color theme="6"/>
      </top>
      <bottom/>
      <diagonal/>
    </border>
    <border>
      <left/>
      <right style="thin">
        <color theme="6"/>
      </right>
      <top style="thin">
        <color theme="6"/>
      </top>
      <bottom style="thin">
        <color theme="6"/>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4" tint="0.39997558519241921"/>
      </right>
      <top/>
      <bottom/>
      <diagonal/>
    </border>
    <border>
      <left/>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hair">
        <color auto="1"/>
      </left>
      <right/>
      <top style="thin">
        <color auto="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hair">
        <color auto="1"/>
      </left>
      <right/>
      <top style="hair">
        <color auto="1"/>
      </top>
      <bottom style="thin">
        <color auto="1"/>
      </bottom>
      <diagonal/>
    </border>
    <border>
      <left style="hair">
        <color auto="1"/>
      </left>
      <right/>
      <top style="thin">
        <color auto="1"/>
      </top>
      <bottom style="hair">
        <color auto="1"/>
      </bottom>
      <diagonal/>
    </border>
    <border>
      <left/>
      <right style="thin">
        <color auto="1"/>
      </right>
      <top style="thin">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hair">
        <color auto="1"/>
      </right>
      <top style="hair">
        <color auto="1"/>
      </top>
      <bottom style="thin">
        <color theme="0"/>
      </bottom>
      <diagonal/>
    </border>
    <border>
      <left style="hair">
        <color auto="1"/>
      </left>
      <right style="hair">
        <color auto="1"/>
      </right>
      <top style="hair">
        <color auto="1"/>
      </top>
      <bottom style="thin">
        <color theme="0"/>
      </bottom>
      <diagonal/>
    </border>
    <border>
      <left style="thin">
        <color indexed="64"/>
      </left>
      <right/>
      <top style="thin">
        <color theme="0"/>
      </top>
      <bottom style="thin">
        <color indexed="64"/>
      </bottom>
      <diagonal/>
    </border>
    <border>
      <left/>
      <right style="hair">
        <color auto="1"/>
      </right>
      <top style="thin">
        <color theme="0"/>
      </top>
      <bottom style="thin">
        <color indexed="64"/>
      </bottom>
      <diagonal/>
    </border>
    <border>
      <left style="hair">
        <color auto="1"/>
      </left>
      <right/>
      <top style="thin">
        <color auto="1"/>
      </top>
      <bottom style="thin">
        <color indexed="64"/>
      </bottom>
      <diagonal/>
    </border>
    <border>
      <left style="thin">
        <color theme="6"/>
      </left>
      <right/>
      <top style="thin">
        <color theme="6"/>
      </top>
      <bottom/>
      <diagonal/>
    </border>
    <border>
      <left/>
      <right/>
      <top/>
      <bottom style="hair">
        <color theme="0"/>
      </bottom>
      <diagonal/>
    </border>
    <border>
      <left style="thin">
        <color theme="1"/>
      </left>
      <right style="thin">
        <color indexed="64"/>
      </right>
      <top/>
      <bottom/>
      <diagonal/>
    </border>
    <border>
      <left/>
      <right style="thin">
        <color indexed="64"/>
      </right>
      <top/>
      <bottom style="thin">
        <color indexed="64"/>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top/>
      <bottom style="hair">
        <color theme="0"/>
      </bottom>
      <diagonal/>
    </border>
    <border>
      <left style="hair">
        <color theme="0"/>
      </left>
      <right style="hair">
        <color auto="1"/>
      </right>
      <top style="thin">
        <color indexed="64"/>
      </top>
      <bottom style="hair">
        <color theme="0"/>
      </bottom>
      <diagonal/>
    </border>
    <border>
      <left style="hair">
        <color theme="0"/>
      </left>
      <right/>
      <top style="thin">
        <color indexed="64"/>
      </top>
      <bottom style="hair">
        <color theme="0"/>
      </bottom>
      <diagonal/>
    </border>
    <border>
      <left/>
      <right/>
      <top style="thin">
        <color indexed="64"/>
      </top>
      <bottom style="hair">
        <color theme="0"/>
      </bottom>
      <diagonal/>
    </border>
    <border>
      <left/>
      <right style="hair">
        <color theme="0"/>
      </right>
      <top style="thin">
        <color indexed="64"/>
      </top>
      <bottom style="hair">
        <color theme="0"/>
      </bottom>
      <diagonal/>
    </border>
    <border>
      <left style="hair">
        <color auto="1"/>
      </left>
      <right/>
      <top style="thin">
        <color indexed="64"/>
      </top>
      <bottom style="hair">
        <color theme="0"/>
      </bottom>
      <diagonal/>
    </border>
    <border>
      <left/>
      <right style="hair">
        <color theme="0"/>
      </right>
      <top/>
      <bottom/>
      <diagonal/>
    </border>
    <border>
      <left/>
      <right style="hair">
        <color auto="1"/>
      </right>
      <top style="hair">
        <color auto="1"/>
      </top>
      <bottom style="thin">
        <color theme="0"/>
      </bottom>
      <diagonal/>
    </border>
    <border>
      <left/>
      <right/>
      <top style="thin">
        <color theme="0"/>
      </top>
      <bottom style="thin">
        <color indexed="64"/>
      </bottom>
      <diagonal/>
    </border>
    <border>
      <left/>
      <right/>
      <top/>
      <bottom style="hair">
        <color auto="1"/>
      </bottom>
      <diagonal/>
    </border>
    <border>
      <left/>
      <right/>
      <top style="hair">
        <color auto="1"/>
      </top>
      <bottom style="hair">
        <color auto="1"/>
      </bottom>
      <diagonal/>
    </border>
    <border>
      <left/>
      <right style="hair">
        <color auto="1"/>
      </right>
      <top style="hair">
        <color auto="1"/>
      </top>
      <bottom style="thin">
        <color auto="1"/>
      </bottom>
      <diagonal/>
    </border>
    <border>
      <left/>
      <right style="thin">
        <color indexed="64"/>
      </right>
      <top style="thin">
        <color theme="0"/>
      </top>
      <bottom style="hair">
        <color theme="0"/>
      </bottom>
      <diagonal/>
    </border>
    <border>
      <left/>
      <right style="thin">
        <color indexed="64"/>
      </right>
      <top style="hair">
        <color theme="0"/>
      </top>
      <bottom style="hair">
        <color theme="0"/>
      </bottom>
      <diagonal/>
    </border>
    <border>
      <left/>
      <right style="thin">
        <color indexed="64"/>
      </right>
      <top style="hair">
        <color theme="0"/>
      </top>
      <bottom style="thin">
        <color theme="0"/>
      </bottom>
      <diagonal/>
    </border>
    <border>
      <left/>
      <right style="thin">
        <color indexed="64"/>
      </right>
      <top style="thin">
        <color theme="0"/>
      </top>
      <bottom style="thin">
        <color theme="0"/>
      </bottom>
      <diagonal/>
    </border>
    <border>
      <left/>
      <right style="thin">
        <color indexed="64"/>
      </right>
      <top style="thin">
        <color theme="0"/>
      </top>
      <bottom style="thin">
        <color indexed="64"/>
      </bottom>
      <diagonal/>
    </border>
    <border>
      <left style="thin">
        <color theme="6"/>
      </left>
      <right style="thin">
        <color theme="6"/>
      </right>
      <top style="thin">
        <color theme="6"/>
      </top>
      <bottom/>
      <diagonal/>
    </border>
    <border>
      <left style="thin">
        <color theme="6"/>
      </left>
      <right style="thin">
        <color theme="6"/>
      </right>
      <top style="thin">
        <color theme="6"/>
      </top>
      <bottom style="thin">
        <color theme="6"/>
      </bottom>
      <diagonal/>
    </border>
    <border>
      <left style="thin">
        <color theme="6"/>
      </left>
      <right/>
      <top style="thin">
        <color theme="6"/>
      </top>
      <bottom style="thin">
        <color theme="6"/>
      </bottom>
      <diagonal/>
    </border>
    <border>
      <left style="thin">
        <color indexed="64"/>
      </left>
      <right/>
      <top style="thin">
        <color indexed="64"/>
      </top>
      <bottom style="hair">
        <color indexed="64"/>
      </bottom>
      <diagonal/>
    </border>
    <border>
      <left style="hair">
        <color auto="1"/>
      </left>
      <right style="thin">
        <color auto="1"/>
      </right>
      <top style="thin">
        <color auto="1"/>
      </top>
      <bottom/>
      <diagonal/>
    </border>
    <border>
      <left style="thin">
        <color auto="1"/>
      </left>
      <right/>
      <top style="hair">
        <color auto="1"/>
      </top>
      <bottom/>
      <diagonal/>
    </border>
    <border>
      <left style="hair">
        <color auto="1"/>
      </left>
      <right style="thin">
        <color auto="1"/>
      </right>
      <top style="hair">
        <color auto="1"/>
      </top>
      <bottom/>
      <diagonal/>
    </border>
    <border>
      <left style="thin">
        <color auto="1"/>
      </left>
      <right/>
      <top style="hair">
        <color auto="1"/>
      </top>
      <bottom style="thin">
        <color auto="1"/>
      </bottom>
      <diagonal/>
    </border>
    <border>
      <left style="thin">
        <color indexed="64"/>
      </left>
      <right/>
      <top style="thin">
        <color indexed="64"/>
      </top>
      <bottom style="hair">
        <color theme="0"/>
      </bottom>
      <diagonal/>
    </border>
    <border>
      <left/>
      <right style="thin">
        <color indexed="64"/>
      </right>
      <top style="thin">
        <color indexed="64"/>
      </top>
      <bottom style="hair">
        <color theme="0"/>
      </bottom>
      <diagonal/>
    </border>
    <border>
      <left/>
      <right/>
      <top/>
      <bottom style="thin">
        <color auto="1"/>
      </bottom>
      <diagonal/>
    </border>
    <border>
      <left style="thin">
        <color theme="0" tint="-0.24994659260841701"/>
      </left>
      <right/>
      <top style="thin">
        <color theme="0" tint="-0.24994659260841701"/>
      </top>
      <bottom style="thin">
        <color theme="0" tint="-0.24994659260841701"/>
      </bottom>
      <diagonal/>
    </border>
    <border>
      <left/>
      <right style="thin">
        <color auto="1"/>
      </right>
      <top style="hair">
        <color auto="1"/>
      </top>
      <bottom style="thin">
        <color auto="1"/>
      </bottom>
      <diagonal/>
    </border>
    <border>
      <left style="thin">
        <color indexed="64"/>
      </left>
      <right style="hair">
        <color theme="0"/>
      </right>
      <top style="thin">
        <color indexed="64"/>
      </top>
      <bottom/>
      <diagonal/>
    </border>
    <border>
      <left style="hair">
        <color auto="1"/>
      </left>
      <right style="thin">
        <color indexed="64"/>
      </right>
      <top style="thin">
        <color indexed="64"/>
      </top>
      <bottom style="thin">
        <color theme="0"/>
      </bottom>
      <diagonal/>
    </border>
    <border>
      <left style="thin">
        <color indexed="64"/>
      </left>
      <right style="hair">
        <color theme="0"/>
      </right>
      <top/>
      <bottom/>
      <diagonal/>
    </border>
    <border>
      <left/>
      <right style="thin">
        <color indexed="64"/>
      </right>
      <top/>
      <bottom style="hair">
        <color auto="1"/>
      </bottom>
      <diagonal/>
    </border>
    <border>
      <left style="thin">
        <color indexed="64"/>
      </left>
      <right style="hair">
        <color theme="0"/>
      </right>
      <top/>
      <bottom style="thin">
        <color indexed="64"/>
      </bottom>
      <diagonal/>
    </border>
    <border>
      <left/>
      <right style="hair">
        <color auto="1"/>
      </right>
      <top style="thin">
        <color indexed="64"/>
      </top>
      <bottom style="thin">
        <color theme="0"/>
      </bottom>
      <diagonal/>
    </border>
    <border>
      <left style="hair">
        <color auto="1"/>
      </left>
      <right style="thin">
        <color indexed="64"/>
      </right>
      <top style="hair">
        <color auto="1"/>
      </top>
      <bottom style="thin">
        <color theme="0"/>
      </bottom>
      <diagonal/>
    </border>
    <border>
      <left/>
      <right style="thin">
        <color indexed="64"/>
      </right>
      <top style="thin">
        <color indexed="64"/>
      </top>
      <bottom style="thin">
        <color theme="0"/>
      </bottom>
      <diagonal/>
    </border>
    <border>
      <left/>
      <right style="thin">
        <color indexed="64"/>
      </right>
      <top style="thin">
        <color theme="0"/>
      </top>
      <bottom style="hair">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auto="1"/>
      </right>
      <top style="thin">
        <color theme="1"/>
      </top>
      <bottom/>
      <diagonal/>
    </border>
    <border>
      <left style="thin">
        <color indexed="64"/>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indexed="64"/>
      </right>
      <top style="thin">
        <color theme="0" tint="-0.24994659260841701"/>
      </top>
      <bottom/>
      <diagonal/>
    </border>
    <border>
      <left/>
      <right/>
      <top style="thin">
        <color theme="1"/>
      </top>
      <bottom style="thin">
        <color auto="1"/>
      </bottom>
      <diagonal/>
    </border>
    <border>
      <left style="thin">
        <color theme="0" tint="-0.24994659260841701"/>
      </left>
      <right style="thin">
        <color theme="0" tint="-0.24994659260841701"/>
      </right>
      <top/>
      <bottom/>
      <diagonal/>
    </border>
    <border>
      <left style="thin">
        <color theme="6"/>
      </left>
      <right style="thin">
        <color theme="6"/>
      </right>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top style="thin">
        <color theme="0" tint="-0.24994659260841701"/>
      </top>
      <bottom/>
      <diagonal/>
    </border>
    <border>
      <left style="thin">
        <color theme="1"/>
      </left>
      <right style="thin">
        <color indexed="64"/>
      </right>
      <top style="thin">
        <color theme="0"/>
      </top>
      <bottom/>
      <diagonal/>
    </border>
    <border>
      <left style="thin">
        <color theme="1"/>
      </left>
      <right style="thin">
        <color indexed="64"/>
      </right>
      <top/>
      <bottom style="thin">
        <color theme="0"/>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right/>
      <top/>
      <bottom style="thin">
        <color theme="0"/>
      </bottom>
      <diagonal/>
    </border>
    <border>
      <left/>
      <right style="thin">
        <color theme="1"/>
      </right>
      <top/>
      <bottom/>
      <diagonal/>
    </border>
    <border>
      <left style="thin">
        <color indexed="64"/>
      </left>
      <right style="thin">
        <color indexed="64"/>
      </right>
      <top/>
      <bottom style="thin">
        <color indexed="64"/>
      </bottom>
      <diagonal/>
    </border>
    <border>
      <left/>
      <right style="thin">
        <color theme="6"/>
      </right>
      <top/>
      <bottom style="thin">
        <color theme="6"/>
      </bottom>
      <diagonal/>
    </border>
    <border>
      <left style="thin">
        <color theme="6"/>
      </left>
      <right style="thin">
        <color theme="6"/>
      </right>
      <top/>
      <bottom style="thin">
        <color theme="6"/>
      </bottom>
      <diagonal/>
    </border>
    <border>
      <left style="thin">
        <color theme="6"/>
      </left>
      <right/>
      <top/>
      <bottom style="thin">
        <color theme="6"/>
      </bottom>
      <diagonal/>
    </border>
    <border>
      <left/>
      <right/>
      <top/>
      <bottom style="thin">
        <color theme="6"/>
      </bottom>
      <diagonal/>
    </border>
    <border>
      <left style="thin">
        <color theme="0"/>
      </left>
      <right/>
      <top/>
      <bottom style="thin">
        <color auto="1"/>
      </bottom>
      <diagonal/>
    </border>
    <border>
      <left/>
      <right style="thin">
        <color theme="0"/>
      </right>
      <top/>
      <bottom style="thin">
        <color auto="1"/>
      </bottom>
      <diagonal/>
    </border>
    <border>
      <left style="thin">
        <color auto="1"/>
      </left>
      <right/>
      <top/>
      <bottom/>
      <diagonal/>
    </border>
    <border>
      <left/>
      <right/>
      <top style="thin">
        <color indexed="64"/>
      </top>
      <bottom style="thin">
        <color theme="0"/>
      </bottom>
      <diagonal/>
    </border>
    <border>
      <left/>
      <right/>
      <top style="thin">
        <color theme="0"/>
      </top>
      <bottom style="hair">
        <color auto="1"/>
      </bottom>
      <diagonal/>
    </border>
    <border>
      <left style="thin">
        <color indexed="64"/>
      </left>
      <right style="thin">
        <color theme="0"/>
      </right>
      <top style="thin">
        <color indexed="64"/>
      </top>
      <bottom/>
      <diagonal/>
    </border>
    <border>
      <left style="thin">
        <color indexed="64"/>
      </left>
      <right style="thin">
        <color theme="0"/>
      </right>
      <top/>
      <bottom/>
      <diagonal/>
    </border>
    <border>
      <left/>
      <right style="thin">
        <color indexed="64"/>
      </right>
      <top style="thin">
        <color indexed="64"/>
      </top>
      <bottom/>
      <diagonal/>
    </border>
    <border>
      <left style="thin">
        <color indexed="64"/>
      </left>
      <right/>
      <top style="thin">
        <color theme="1"/>
      </top>
      <bottom style="thin">
        <color indexed="64"/>
      </bottom>
      <diagonal/>
    </border>
    <border>
      <left style="thin">
        <color theme="0"/>
      </left>
      <right/>
      <top style="thin">
        <color theme="1"/>
      </top>
      <bottom style="thin">
        <color indexed="64"/>
      </bottom>
      <diagonal/>
    </border>
    <border>
      <left/>
      <right/>
      <top style="thin">
        <color theme="6"/>
      </top>
      <bottom/>
      <diagonal/>
    </border>
    <border>
      <left/>
      <right style="thin">
        <color theme="6"/>
      </right>
      <top/>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style="thin">
        <color auto="1"/>
      </left>
      <right/>
      <top style="thin">
        <color auto="1"/>
      </top>
      <bottom style="thin">
        <color theme="1"/>
      </bottom>
      <diagonal/>
    </border>
    <border>
      <left/>
      <right/>
      <top style="thin">
        <color auto="1"/>
      </top>
      <bottom style="thin">
        <color theme="1"/>
      </bottom>
      <diagonal/>
    </border>
  </borders>
  <cellStyleXfs count="4">
    <xf numFmtId="0" fontId="0" fillId="0" borderId="0"/>
    <xf numFmtId="44" fontId="15" fillId="0" borderId="0" applyFont="0" applyFill="0" applyBorder="0" applyAlignment="0" applyProtection="0"/>
    <xf numFmtId="0" fontId="16" fillId="0" borderId="0" applyNumberFormat="0" applyFill="0" applyBorder="0" applyAlignment="0" applyProtection="0"/>
    <xf numFmtId="43" fontId="15" fillId="0" borderId="0" applyFont="0" applyFill="0" applyBorder="0" applyAlignment="0" applyProtection="0"/>
  </cellStyleXfs>
  <cellXfs count="615">
    <xf numFmtId="0" fontId="0" fillId="0" borderId="0" xfId="0"/>
    <xf numFmtId="0" fontId="0" fillId="2" borderId="0" xfId="0" applyFill="1"/>
    <xf numFmtId="0" fontId="0" fillId="2" borderId="0" xfId="0" applyFill="1" applyAlignment="1">
      <alignment wrapText="1"/>
    </xf>
    <xf numFmtId="0" fontId="0" fillId="2" borderId="0" xfId="0" applyFill="1" applyAlignment="1">
      <alignment vertical="top"/>
    </xf>
    <xf numFmtId="0" fontId="2" fillId="0" borderId="0" xfId="0" applyFont="1"/>
    <xf numFmtId="0" fontId="2" fillId="0" borderId="0" xfId="0" applyFont="1" applyAlignment="1">
      <alignment horizontal="center"/>
    </xf>
    <xf numFmtId="0" fontId="3" fillId="2" borderId="0" xfId="0" applyFont="1" applyFill="1"/>
    <xf numFmtId="0" fontId="4" fillId="6" borderId="0" xfId="0" applyFont="1" applyFill="1"/>
    <xf numFmtId="0" fontId="4" fillId="6" borderId="0" xfId="0" applyFont="1" applyFill="1" applyAlignment="1">
      <alignment horizontal="center"/>
    </xf>
    <xf numFmtId="0" fontId="2" fillId="9" borderId="0" xfId="0" applyFont="1" applyFill="1" applyAlignment="1">
      <alignment horizontal="center"/>
    </xf>
    <xf numFmtId="0" fontId="5" fillId="6" borderId="0" xfId="0" applyFont="1" applyFill="1"/>
    <xf numFmtId="0" fontId="6" fillId="0" borderId="0" xfId="0" applyFont="1"/>
    <xf numFmtId="0" fontId="6" fillId="0" borderId="0" xfId="0" applyFont="1" applyAlignment="1">
      <alignment horizontal="left"/>
    </xf>
    <xf numFmtId="0" fontId="3" fillId="0" borderId="0" xfId="0" applyFont="1"/>
    <xf numFmtId="0" fontId="3" fillId="0" borderId="19" xfId="0" applyFont="1" applyBorder="1"/>
    <xf numFmtId="0" fontId="6" fillId="2" borderId="0" xfId="0" applyFont="1" applyFill="1"/>
    <xf numFmtId="0" fontId="3" fillId="0" borderId="0" xfId="0" applyFont="1" applyAlignment="1">
      <alignment horizontal="left"/>
    </xf>
    <xf numFmtId="0" fontId="3" fillId="2" borderId="0" xfId="0" applyFont="1" applyFill="1" applyAlignment="1">
      <alignment wrapText="1"/>
    </xf>
    <xf numFmtId="0" fontId="7" fillId="0" borderId="0" xfId="0" applyFont="1" applyAlignment="1">
      <alignment horizontal="center" wrapText="1"/>
    </xf>
    <xf numFmtId="0" fontId="3" fillId="0" borderId="0" xfId="0" applyFont="1" applyAlignment="1">
      <alignment horizontal="left" vertical="top" wrapText="1"/>
    </xf>
    <xf numFmtId="0" fontId="3" fillId="2" borderId="0" xfId="0" applyFont="1" applyFill="1" applyAlignment="1">
      <alignment vertical="top" wrapText="1"/>
    </xf>
    <xf numFmtId="0" fontId="3" fillId="2" borderId="0" xfId="0" applyFont="1" applyFill="1" applyAlignment="1">
      <alignment vertical="top"/>
    </xf>
    <xf numFmtId="0" fontId="3" fillId="2" borderId="0" xfId="0" applyFont="1" applyFill="1" applyAlignment="1">
      <alignment horizontal="left" vertical="top"/>
    </xf>
    <xf numFmtId="0" fontId="3" fillId="0" borderId="0" xfId="0" applyFont="1" applyAlignment="1">
      <alignment vertical="top"/>
    </xf>
    <xf numFmtId="0" fontId="3" fillId="0" borderId="0" xfId="0" applyFont="1" applyAlignment="1">
      <alignment vertical="top" wrapText="1"/>
    </xf>
    <xf numFmtId="0" fontId="3" fillId="0" borderId="5" xfId="0" applyFont="1" applyBorder="1"/>
    <xf numFmtId="0" fontId="3" fillId="2" borderId="0" xfId="0" applyFont="1" applyFill="1" applyAlignment="1">
      <alignment horizontal="center" wrapText="1"/>
    </xf>
    <xf numFmtId="0" fontId="3" fillId="0" borderId="0" xfId="0" applyFont="1" applyAlignment="1">
      <alignment horizontal="center" wrapText="1"/>
    </xf>
    <xf numFmtId="0" fontId="3" fillId="2" borderId="5" xfId="0" applyFont="1" applyFill="1" applyBorder="1"/>
    <xf numFmtId="0" fontId="3" fillId="2" borderId="0" xfId="0" applyFont="1" applyFill="1" applyAlignment="1">
      <alignment horizontal="center" vertical="top"/>
    </xf>
    <xf numFmtId="0" fontId="5" fillId="0" borderId="0" xfId="0" applyFont="1" applyAlignment="1">
      <alignment vertical="top"/>
    </xf>
    <xf numFmtId="0" fontId="5" fillId="0" borderId="0" xfId="0" applyFont="1" applyAlignment="1">
      <alignment vertical="top" wrapText="1"/>
    </xf>
    <xf numFmtId="0" fontId="3" fillId="2" borderId="0" xfId="0" applyFont="1" applyFill="1" applyAlignment="1">
      <alignment horizontal="left" wrapText="1"/>
    </xf>
    <xf numFmtId="0" fontId="7" fillId="2" borderId="0" xfId="0" applyFont="1" applyFill="1"/>
    <xf numFmtId="0" fontId="2" fillId="0" borderId="0" xfId="0" applyFont="1" applyAlignment="1">
      <alignment horizontal="center" vertical="top" wrapText="1"/>
    </xf>
    <xf numFmtId="0" fontId="3" fillId="3" borderId="4" xfId="0" applyFont="1" applyFill="1" applyBorder="1"/>
    <xf numFmtId="0" fontId="3" fillId="3" borderId="1" xfId="0" applyFont="1" applyFill="1" applyBorder="1"/>
    <xf numFmtId="0" fontId="3" fillId="3" borderId="9" xfId="0" applyFont="1" applyFill="1" applyBorder="1"/>
    <xf numFmtId="0" fontId="7" fillId="3" borderId="2" xfId="0" applyFont="1" applyFill="1" applyBorder="1"/>
    <xf numFmtId="0" fontId="3" fillId="3" borderId="10" xfId="0" applyFont="1" applyFill="1" applyBorder="1"/>
    <xf numFmtId="0" fontId="3" fillId="6" borderId="5" xfId="0" applyFont="1" applyFill="1" applyBorder="1"/>
    <xf numFmtId="0" fontId="3" fillId="2" borderId="0" xfId="0" applyFont="1" applyFill="1" applyAlignment="1">
      <alignment horizontal="left" indent="1"/>
    </xf>
    <xf numFmtId="0" fontId="3" fillId="6" borderId="5" xfId="0" applyFont="1" applyFill="1" applyBorder="1" applyAlignment="1">
      <alignment horizontal="right"/>
    </xf>
    <xf numFmtId="0" fontId="3" fillId="0" borderId="5" xfId="0" applyFont="1" applyBorder="1" applyAlignment="1">
      <alignment horizontal="right"/>
    </xf>
    <xf numFmtId="0" fontId="3" fillId="2" borderId="5" xfId="0" applyFont="1" applyFill="1" applyBorder="1" applyAlignment="1">
      <alignment horizontal="right"/>
    </xf>
    <xf numFmtId="0" fontId="3" fillId="2" borderId="0" xfId="0" applyFont="1" applyFill="1" applyAlignment="1">
      <alignment horizontal="right"/>
    </xf>
    <xf numFmtId="0" fontId="5" fillId="2" borderId="0" xfId="0" applyFont="1" applyFill="1" applyAlignment="1">
      <alignment horizontal="center"/>
    </xf>
    <xf numFmtId="0" fontId="9" fillId="0" borderId="24" xfId="0" applyFont="1" applyBorder="1" applyAlignment="1">
      <alignment horizontal="left" vertical="top" wrapText="1"/>
    </xf>
    <xf numFmtId="0" fontId="2" fillId="12" borderId="0" xfId="0" applyFont="1" applyFill="1" applyAlignment="1">
      <alignment horizontal="center"/>
    </xf>
    <xf numFmtId="0" fontId="2" fillId="12" borderId="0" xfId="0" applyFont="1" applyFill="1" applyAlignment="1">
      <alignment horizontal="center" wrapText="1"/>
    </xf>
    <xf numFmtId="0" fontId="9" fillId="0" borderId="29" xfId="0" applyFont="1" applyBorder="1" applyAlignment="1">
      <alignment horizontal="left" vertical="top" wrapText="1"/>
    </xf>
    <xf numFmtId="0" fontId="5" fillId="2" borderId="0" xfId="0" applyFont="1" applyFill="1" applyAlignment="1">
      <alignment vertical="top"/>
    </xf>
    <xf numFmtId="0" fontId="0" fillId="2" borderId="0" xfId="0" applyFill="1" applyAlignment="1">
      <alignment horizontal="left" vertical="top"/>
    </xf>
    <xf numFmtId="0" fontId="6" fillId="0" borderId="0" xfId="0" applyFont="1" applyAlignment="1">
      <alignment vertical="top"/>
    </xf>
    <xf numFmtId="0" fontId="2" fillId="9" borderId="72" xfId="0" applyFont="1" applyFill="1" applyBorder="1" applyAlignment="1">
      <alignment horizontal="center"/>
    </xf>
    <xf numFmtId="0" fontId="3" fillId="2" borderId="45" xfId="0" applyFont="1" applyFill="1" applyBorder="1" applyAlignment="1">
      <alignment vertical="top" wrapText="1"/>
    </xf>
    <xf numFmtId="0" fontId="10" fillId="2" borderId="45" xfId="0" applyFont="1" applyFill="1" applyBorder="1" applyAlignment="1">
      <alignment vertical="top" wrapText="1"/>
    </xf>
    <xf numFmtId="0" fontId="5" fillId="0" borderId="46" xfId="0" applyFont="1" applyBorder="1" applyAlignment="1">
      <alignment vertical="top" wrapText="1"/>
    </xf>
    <xf numFmtId="0" fontId="5" fillId="0" borderId="47" xfId="0" applyFont="1" applyBorder="1" applyAlignment="1">
      <alignment vertical="top" wrapText="1"/>
    </xf>
    <xf numFmtId="0" fontId="3" fillId="2" borderId="45" xfId="0" applyFont="1" applyFill="1" applyBorder="1" applyAlignment="1">
      <alignment horizontal="left" vertical="top" wrapText="1"/>
    </xf>
    <xf numFmtId="0" fontId="3" fillId="7" borderId="45" xfId="0" applyFont="1" applyFill="1" applyBorder="1" applyAlignment="1">
      <alignment horizontal="left" vertical="top" wrapText="1"/>
    </xf>
    <xf numFmtId="0" fontId="2" fillId="9" borderId="44" xfId="0" applyFont="1" applyFill="1" applyBorder="1" applyAlignment="1">
      <alignment horizontal="center" vertical="top" wrapText="1"/>
    </xf>
    <xf numFmtId="0" fontId="2" fillId="9" borderId="42" xfId="0" applyFont="1" applyFill="1" applyBorder="1" applyAlignment="1">
      <alignment horizontal="center" vertical="top" wrapText="1"/>
    </xf>
    <xf numFmtId="0" fontId="2" fillId="9" borderId="44" xfId="0" applyFont="1" applyFill="1" applyBorder="1" applyAlignment="1">
      <alignment horizontal="left" vertical="top" wrapText="1"/>
    </xf>
    <xf numFmtId="0" fontId="11" fillId="0" borderId="0" xfId="0" applyFont="1"/>
    <xf numFmtId="0" fontId="12" fillId="0" borderId="0" xfId="0" applyFont="1"/>
    <xf numFmtId="0" fontId="3" fillId="0" borderId="88" xfId="0" applyFont="1" applyBorder="1"/>
    <xf numFmtId="0" fontId="3" fillId="2" borderId="89" xfId="0" applyFont="1" applyFill="1" applyBorder="1"/>
    <xf numFmtId="0" fontId="3" fillId="0" borderId="65" xfId="0" applyFont="1" applyBorder="1"/>
    <xf numFmtId="0" fontId="3" fillId="2" borderId="90" xfId="0" applyFont="1" applyFill="1" applyBorder="1"/>
    <xf numFmtId="0" fontId="8" fillId="16" borderId="65" xfId="0" applyFont="1" applyFill="1" applyBorder="1" applyAlignment="1">
      <alignment vertical="top"/>
    </xf>
    <xf numFmtId="0" fontId="4" fillId="16" borderId="65" xfId="0" applyFont="1" applyFill="1" applyBorder="1" applyAlignment="1">
      <alignment horizontal="center"/>
    </xf>
    <xf numFmtId="0" fontId="4" fillId="16" borderId="88" xfId="0" applyFont="1" applyFill="1" applyBorder="1" applyAlignment="1">
      <alignment horizontal="center"/>
    </xf>
    <xf numFmtId="0" fontId="4" fillId="16" borderId="0" xfId="0" applyFont="1" applyFill="1" applyAlignment="1">
      <alignment horizontal="center"/>
    </xf>
    <xf numFmtId="0" fontId="8" fillId="16" borderId="0" xfId="0" applyFont="1" applyFill="1" applyAlignment="1">
      <alignment vertical="top"/>
    </xf>
    <xf numFmtId="0" fontId="3" fillId="0" borderId="0" xfId="0" applyFont="1" applyAlignment="1">
      <alignment horizontal="right" vertical="top"/>
    </xf>
    <xf numFmtId="0" fontId="2" fillId="9" borderId="36" xfId="0" applyFont="1" applyFill="1" applyBorder="1" applyAlignment="1">
      <alignment vertical="top" wrapText="1"/>
    </xf>
    <xf numFmtId="0" fontId="3" fillId="9" borderId="0" xfId="0" applyFont="1" applyFill="1" applyAlignment="1">
      <alignment vertical="top" wrapText="1"/>
    </xf>
    <xf numFmtId="0" fontId="13" fillId="2" borderId="0" xfId="0" applyFont="1" applyFill="1"/>
    <xf numFmtId="0" fontId="14" fillId="2" borderId="0" xfId="0" applyFont="1" applyFill="1" applyAlignment="1">
      <alignment vertical="top"/>
    </xf>
    <xf numFmtId="0" fontId="17" fillId="9" borderId="96" xfId="0" applyFont="1" applyFill="1" applyBorder="1" applyAlignment="1">
      <alignment vertical="top" wrapText="1"/>
    </xf>
    <xf numFmtId="0" fontId="17" fillId="9" borderId="74" xfId="0" applyFont="1" applyFill="1" applyBorder="1" applyAlignment="1">
      <alignment vertical="top" wrapText="1"/>
    </xf>
    <xf numFmtId="0" fontId="18" fillId="9" borderId="74" xfId="0" applyFont="1" applyFill="1" applyBorder="1" applyAlignment="1">
      <alignment vertical="top" wrapText="1"/>
    </xf>
    <xf numFmtId="0" fontId="17" fillId="9" borderId="97" xfId="0" applyFont="1" applyFill="1" applyBorder="1" applyAlignment="1">
      <alignment vertical="top" wrapText="1"/>
    </xf>
    <xf numFmtId="0" fontId="19" fillId="2" borderId="0" xfId="0" applyFont="1" applyFill="1" applyAlignment="1">
      <alignment vertical="top"/>
    </xf>
    <xf numFmtId="0" fontId="17" fillId="13" borderId="42" xfId="0" applyFont="1" applyFill="1" applyBorder="1" applyAlignment="1">
      <alignment horizontal="left" vertical="top" wrapText="1"/>
    </xf>
    <xf numFmtId="0" fontId="17" fillId="13" borderId="40" xfId="0" applyFont="1" applyFill="1" applyBorder="1" applyAlignment="1">
      <alignment horizontal="left" vertical="top" wrapText="1"/>
    </xf>
    <xf numFmtId="0" fontId="17" fillId="15" borderId="42" xfId="0" applyFont="1" applyFill="1" applyBorder="1" applyAlignment="1">
      <alignment horizontal="left" vertical="top" wrapText="1"/>
    </xf>
    <xf numFmtId="1" fontId="17" fillId="15" borderId="44" xfId="0" applyNumberFormat="1" applyFont="1" applyFill="1" applyBorder="1" applyAlignment="1">
      <alignment horizontal="right" vertical="top" wrapText="1"/>
    </xf>
    <xf numFmtId="0" fontId="17" fillId="8" borderId="44" xfId="0" applyFont="1" applyFill="1" applyBorder="1" applyAlignment="1">
      <alignment horizontal="left" vertical="top"/>
    </xf>
    <xf numFmtId="0" fontId="17" fillId="8" borderId="92" xfId="0" applyFont="1" applyFill="1" applyBorder="1" applyAlignment="1">
      <alignment horizontal="left" vertical="top" wrapText="1"/>
    </xf>
    <xf numFmtId="0" fontId="19" fillId="2" borderId="0" xfId="0" applyFont="1" applyFill="1" applyAlignment="1">
      <alignment horizontal="center" vertical="top"/>
    </xf>
    <xf numFmtId="1" fontId="18" fillId="13" borderId="93" xfId="0" applyNumberFormat="1" applyFont="1" applyFill="1" applyBorder="1" applyAlignment="1">
      <alignment horizontal="left" vertical="top" wrapText="1"/>
    </xf>
    <xf numFmtId="1" fontId="17" fillId="13" borderId="93" xfId="0" applyNumberFormat="1" applyFont="1" applyFill="1" applyBorder="1" applyAlignment="1">
      <alignment horizontal="left" vertical="top" wrapText="1"/>
    </xf>
    <xf numFmtId="0" fontId="19" fillId="2" borderId="13" xfId="0" applyFont="1" applyFill="1" applyBorder="1" applyAlignment="1">
      <alignment horizontal="left" vertical="top" wrapText="1"/>
    </xf>
    <xf numFmtId="49" fontId="19" fillId="2" borderId="13" xfId="0" applyNumberFormat="1" applyFont="1" applyFill="1" applyBorder="1" applyAlignment="1">
      <alignment horizontal="left" vertical="top" wrapText="1"/>
    </xf>
    <xf numFmtId="1" fontId="19" fillId="2" borderId="5" xfId="0" applyNumberFormat="1" applyFont="1" applyFill="1" applyBorder="1" applyAlignment="1">
      <alignment horizontal="left" vertical="top"/>
    </xf>
    <xf numFmtId="0" fontId="19" fillId="2" borderId="94" xfId="0" applyFont="1" applyFill="1" applyBorder="1" applyAlignment="1">
      <alignment horizontal="left" vertical="top" wrapText="1"/>
    </xf>
    <xf numFmtId="49" fontId="18" fillId="8" borderId="13" xfId="0" applyNumberFormat="1" applyFont="1" applyFill="1" applyBorder="1" applyAlignment="1">
      <alignment horizontal="left" vertical="top" wrapText="1"/>
    </xf>
    <xf numFmtId="49" fontId="19" fillId="2" borderId="13" xfId="0" applyNumberFormat="1" applyFont="1" applyFill="1" applyBorder="1" applyAlignment="1">
      <alignment horizontal="left" vertical="top"/>
    </xf>
    <xf numFmtId="49" fontId="19" fillId="17" borderId="13" xfId="0" applyNumberFormat="1" applyFont="1" applyFill="1" applyBorder="1" applyAlignment="1">
      <alignment horizontal="left" vertical="top" wrapText="1"/>
    </xf>
    <xf numFmtId="49" fontId="19" fillId="17" borderId="13" xfId="0" applyNumberFormat="1" applyFont="1" applyFill="1" applyBorder="1" applyAlignment="1">
      <alignment horizontal="left" vertical="top"/>
    </xf>
    <xf numFmtId="1" fontId="18" fillId="13" borderId="95" xfId="0" applyNumberFormat="1" applyFont="1" applyFill="1" applyBorder="1" applyAlignment="1">
      <alignment horizontal="left" vertical="top" wrapText="1"/>
    </xf>
    <xf numFmtId="1" fontId="17" fillId="13" borderId="95" xfId="0" applyNumberFormat="1" applyFont="1" applyFill="1" applyBorder="1" applyAlignment="1">
      <alignment horizontal="left" vertical="top" wrapText="1"/>
    </xf>
    <xf numFmtId="49" fontId="19" fillId="17" borderId="51" xfId="0" applyNumberFormat="1" applyFont="1" applyFill="1" applyBorder="1" applyAlignment="1">
      <alignment horizontal="left" vertical="top" wrapText="1"/>
    </xf>
    <xf numFmtId="49" fontId="19" fillId="17" borderId="51" xfId="0" applyNumberFormat="1" applyFont="1" applyFill="1" applyBorder="1" applyAlignment="1">
      <alignment horizontal="left" vertical="top"/>
    </xf>
    <xf numFmtId="49" fontId="19" fillId="2" borderId="51" xfId="0" applyNumberFormat="1" applyFont="1" applyFill="1" applyBorder="1" applyAlignment="1">
      <alignment horizontal="left" vertical="top"/>
    </xf>
    <xf numFmtId="1" fontId="19" fillId="2" borderId="7" xfId="0" applyNumberFormat="1" applyFont="1" applyFill="1" applyBorder="1" applyAlignment="1">
      <alignment horizontal="left" vertical="top"/>
    </xf>
    <xf numFmtId="0" fontId="19" fillId="2" borderId="8" xfId="0" applyFont="1" applyFill="1" applyBorder="1" applyAlignment="1">
      <alignment horizontal="left" vertical="top" wrapText="1"/>
    </xf>
    <xf numFmtId="0" fontId="19" fillId="2" borderId="0" xfId="0" applyFont="1" applyFill="1" applyAlignment="1">
      <alignment horizontal="right" vertical="top"/>
    </xf>
    <xf numFmtId="0" fontId="12" fillId="0" borderId="0" xfId="0" applyFont="1" applyAlignment="1">
      <alignment horizontal="left" vertical="top" wrapText="1"/>
    </xf>
    <xf numFmtId="0" fontId="17" fillId="9" borderId="26" xfId="0" applyFont="1" applyFill="1" applyBorder="1" applyAlignment="1">
      <alignment horizontal="left" vertical="top" wrapText="1"/>
    </xf>
    <xf numFmtId="0" fontId="19" fillId="0" borderId="26" xfId="0" applyFont="1" applyBorder="1" applyAlignment="1">
      <alignment horizontal="left" vertical="top" wrapText="1"/>
    </xf>
    <xf numFmtId="49" fontId="19" fillId="0" borderId="26" xfId="0" applyNumberFormat="1" applyFont="1" applyBorder="1" applyAlignment="1">
      <alignment horizontal="left" vertical="top" wrapText="1"/>
    </xf>
    <xf numFmtId="49" fontId="17" fillId="9" borderId="26" xfId="0" applyNumberFormat="1" applyFont="1" applyFill="1" applyBorder="1" applyAlignment="1">
      <alignment horizontal="left" vertical="top" wrapText="1"/>
    </xf>
    <xf numFmtId="0" fontId="21" fillId="0" borderId="28" xfId="0" applyFont="1" applyBorder="1" applyAlignment="1">
      <alignment horizontal="center"/>
    </xf>
    <xf numFmtId="0" fontId="21" fillId="0" borderId="24" xfId="0" applyFont="1" applyBorder="1" applyAlignment="1">
      <alignment horizontal="center"/>
    </xf>
    <xf numFmtId="0" fontId="19" fillId="0" borderId="29" xfId="0" applyFont="1" applyBorder="1" applyAlignment="1">
      <alignment horizontal="center" wrapText="1"/>
    </xf>
    <xf numFmtId="0" fontId="17" fillId="9" borderId="0" xfId="0" applyFont="1" applyFill="1" applyAlignment="1">
      <alignment horizontal="left"/>
    </xf>
    <xf numFmtId="0" fontId="19" fillId="2" borderId="0" xfId="0" applyFont="1" applyFill="1"/>
    <xf numFmtId="0" fontId="21" fillId="0" borderId="0" xfId="0" applyFont="1" applyAlignment="1">
      <alignment horizontal="center" wrapText="1"/>
    </xf>
    <xf numFmtId="0" fontId="19" fillId="2" borderId="0" xfId="0" applyFont="1" applyFill="1" applyAlignment="1">
      <alignment wrapText="1"/>
    </xf>
    <xf numFmtId="0" fontId="11" fillId="2" borderId="0" xfId="0" applyFont="1" applyFill="1"/>
    <xf numFmtId="0" fontId="12" fillId="0" borderId="0" xfId="0" applyFont="1" applyAlignment="1">
      <alignment vertical="top" wrapText="1"/>
    </xf>
    <xf numFmtId="0" fontId="19" fillId="0" borderId="5" xfId="0" applyFont="1" applyBorder="1" applyAlignment="1">
      <alignment horizontal="left" vertical="top" wrapText="1"/>
    </xf>
    <xf numFmtId="0" fontId="18" fillId="9" borderId="41" xfId="0" applyFont="1" applyFill="1" applyBorder="1" applyAlignment="1">
      <alignment horizontal="left" vertical="top" wrapText="1"/>
    </xf>
    <xf numFmtId="0" fontId="18" fillId="9" borderId="83" xfId="0" applyFont="1" applyFill="1" applyBorder="1" applyAlignment="1">
      <alignment horizontal="left" vertical="top" wrapText="1" indent="2"/>
    </xf>
    <xf numFmtId="0" fontId="18" fillId="9" borderId="84" xfId="0" applyFont="1" applyFill="1" applyBorder="1" applyAlignment="1">
      <alignment horizontal="left" vertical="top" wrapText="1" indent="2"/>
    </xf>
    <xf numFmtId="0" fontId="17" fillId="9" borderId="77" xfId="0" applyFont="1" applyFill="1" applyBorder="1" applyAlignment="1">
      <alignment horizontal="left" vertical="top"/>
    </xf>
    <xf numFmtId="0" fontId="18" fillId="9" borderId="85" xfId="0" applyFont="1" applyFill="1" applyBorder="1" applyAlignment="1">
      <alignment horizontal="left" vertical="top" wrapText="1" indent="2"/>
    </xf>
    <xf numFmtId="0" fontId="18" fillId="9" borderId="86" xfId="0" applyFont="1" applyFill="1" applyBorder="1" applyAlignment="1">
      <alignment horizontal="left" vertical="top" wrapText="1"/>
    </xf>
    <xf numFmtId="0" fontId="18" fillId="9" borderId="86" xfId="0" applyFont="1" applyFill="1" applyBorder="1" applyAlignment="1">
      <alignment vertical="top" wrapText="1"/>
    </xf>
    <xf numFmtId="0" fontId="19" fillId="9" borderId="87" xfId="0" applyFont="1" applyFill="1" applyBorder="1" applyAlignment="1">
      <alignment horizontal="left"/>
    </xf>
    <xf numFmtId="49" fontId="12" fillId="2" borderId="56" xfId="0" applyNumberFormat="1" applyFont="1" applyFill="1" applyBorder="1" applyAlignment="1">
      <alignment horizontal="left" vertical="top" wrapText="1"/>
    </xf>
    <xf numFmtId="49" fontId="19" fillId="2" borderId="57" xfId="0" applyNumberFormat="1" applyFont="1" applyFill="1" applyBorder="1" applyAlignment="1">
      <alignment horizontal="left" vertical="top" wrapText="1"/>
    </xf>
    <xf numFmtId="0" fontId="19" fillId="2" borderId="0" xfId="0" applyFont="1" applyFill="1" applyAlignment="1">
      <alignment vertical="top" wrapText="1"/>
    </xf>
    <xf numFmtId="0" fontId="17" fillId="9" borderId="42" xfId="0" applyFont="1" applyFill="1" applyBorder="1" applyAlignment="1">
      <alignment horizontal="center" vertical="top" wrapText="1"/>
    </xf>
    <xf numFmtId="0" fontId="17" fillId="13" borderId="44" xfId="0" applyFont="1" applyFill="1" applyBorder="1" applyAlignment="1">
      <alignment horizontal="left" vertical="top" wrapText="1"/>
    </xf>
    <xf numFmtId="0" fontId="17" fillId="9" borderId="44" xfId="0" applyFont="1" applyFill="1" applyBorder="1" applyAlignment="1">
      <alignment horizontal="left" vertical="top" wrapText="1"/>
    </xf>
    <xf numFmtId="0" fontId="17" fillId="9" borderId="44" xfId="0" applyFont="1" applyFill="1" applyBorder="1" applyAlignment="1">
      <alignment horizontal="center" vertical="top" wrapText="1"/>
    </xf>
    <xf numFmtId="0" fontId="17" fillId="13" borderId="44" xfId="0" applyFont="1" applyFill="1" applyBorder="1" applyAlignment="1">
      <alignment horizontal="center" vertical="top" wrapText="1"/>
    </xf>
    <xf numFmtId="0" fontId="19" fillId="0" borderId="5" xfId="0" applyFont="1" applyBorder="1" applyAlignment="1">
      <alignment vertical="top" wrapText="1"/>
    </xf>
    <xf numFmtId="0" fontId="19" fillId="2" borderId="0" xfId="0" applyFont="1" applyFill="1" applyAlignment="1">
      <alignment horizontal="left" vertical="top" wrapText="1"/>
    </xf>
    <xf numFmtId="0" fontId="19" fillId="0" borderId="0" xfId="0" applyFont="1"/>
    <xf numFmtId="0" fontId="19" fillId="0" borderId="0" xfId="0" applyFont="1" applyAlignment="1">
      <alignment vertical="top"/>
    </xf>
    <xf numFmtId="0" fontId="19" fillId="2" borderId="0" xfId="0" applyFont="1" applyFill="1" applyAlignment="1">
      <alignment horizontal="left"/>
    </xf>
    <xf numFmtId="0" fontId="19" fillId="0" borderId="10" xfId="0" applyFont="1" applyBorder="1" applyAlignment="1">
      <alignment horizontal="left" vertical="top" wrapText="1"/>
    </xf>
    <xf numFmtId="0" fontId="19" fillId="0" borderId="0" xfId="0" applyFont="1" applyAlignment="1">
      <alignment horizontal="left" vertical="top" wrapText="1"/>
    </xf>
    <xf numFmtId="0" fontId="19" fillId="0" borderId="12" xfId="0" applyFont="1" applyBorder="1" applyAlignment="1">
      <alignment horizontal="left" vertical="top" wrapText="1"/>
    </xf>
    <xf numFmtId="0" fontId="17" fillId="9" borderId="101" xfId="0" applyFont="1" applyFill="1" applyBorder="1" applyAlignment="1">
      <alignment horizontal="left"/>
    </xf>
    <xf numFmtId="0" fontId="17" fillId="9" borderId="103" xfId="0" applyFont="1" applyFill="1" applyBorder="1" applyAlignment="1">
      <alignment horizontal="left"/>
    </xf>
    <xf numFmtId="0" fontId="17" fillId="9" borderId="105" xfId="0" applyFont="1" applyFill="1" applyBorder="1" applyAlignment="1">
      <alignment horizontal="left" vertical="top"/>
    </xf>
    <xf numFmtId="0" fontId="17" fillId="2" borderId="0" xfId="0" applyFont="1" applyFill="1" applyAlignment="1">
      <alignment horizontal="left"/>
    </xf>
    <xf numFmtId="0" fontId="17" fillId="2" borderId="0" xfId="0" applyFont="1" applyFill="1" applyAlignment="1">
      <alignment horizontal="left" wrapText="1"/>
    </xf>
    <xf numFmtId="0" fontId="19" fillId="2" borderId="0" xfId="0" applyFont="1" applyFill="1" applyAlignment="1">
      <alignment horizontal="left" wrapText="1"/>
    </xf>
    <xf numFmtId="0" fontId="17" fillId="9" borderId="101" xfId="0" applyFont="1" applyFill="1" applyBorder="1" applyAlignment="1">
      <alignment horizontal="left" vertical="top"/>
    </xf>
    <xf numFmtId="0" fontId="17" fillId="9" borderId="103" xfId="0" applyFont="1" applyFill="1" applyBorder="1" applyAlignment="1">
      <alignment horizontal="left" vertical="top"/>
    </xf>
    <xf numFmtId="0" fontId="19" fillId="2" borderId="0" xfId="0" applyFont="1" applyFill="1" applyAlignment="1">
      <alignment horizontal="center"/>
    </xf>
    <xf numFmtId="0" fontId="21" fillId="0" borderId="15" xfId="0" applyFont="1" applyBorder="1" applyAlignment="1">
      <alignment horizontal="left" wrapText="1"/>
    </xf>
    <xf numFmtId="0" fontId="24" fillId="6" borderId="14" xfId="0" applyFont="1" applyFill="1" applyBorder="1" applyAlignment="1">
      <alignment wrapText="1"/>
    </xf>
    <xf numFmtId="0" fontId="24" fillId="6" borderId="14" xfId="0" applyFont="1" applyFill="1" applyBorder="1" applyAlignment="1">
      <alignment horizontal="center" wrapText="1"/>
    </xf>
    <xf numFmtId="0" fontId="24" fillId="6" borderId="16" xfId="0" applyFont="1" applyFill="1" applyBorder="1" applyAlignment="1">
      <alignment horizontal="center" wrapText="1"/>
    </xf>
    <xf numFmtId="0" fontId="19" fillId="0" borderId="11" xfId="0" applyFont="1" applyBorder="1" applyAlignment="1">
      <alignment vertical="top" wrapText="1"/>
    </xf>
    <xf numFmtId="0" fontId="19" fillId="0" borderId="13" xfId="0" applyFont="1" applyBorder="1" applyAlignment="1">
      <alignment vertical="top" wrapText="1"/>
    </xf>
    <xf numFmtId="0" fontId="21" fillId="0" borderId="0" xfId="0" applyFont="1" applyAlignment="1">
      <alignment horizontal="left" wrapText="1"/>
    </xf>
    <xf numFmtId="0" fontId="21" fillId="0" borderId="0" xfId="0" applyFont="1" applyAlignment="1">
      <alignment wrapText="1"/>
    </xf>
    <xf numFmtId="0" fontId="21" fillId="0" borderId="14" xfId="0" applyFont="1" applyBorder="1" applyAlignment="1">
      <alignment horizontal="center" wrapText="1"/>
    </xf>
    <xf numFmtId="0" fontId="17" fillId="0" borderId="0" xfId="0" applyFont="1" applyAlignment="1">
      <alignment horizontal="left"/>
    </xf>
    <xf numFmtId="0" fontId="17" fillId="0" borderId="0" xfId="0" applyFont="1" applyAlignment="1">
      <alignment wrapText="1"/>
    </xf>
    <xf numFmtId="0" fontId="17" fillId="0" borderId="0" xfId="0" applyFont="1" applyAlignment="1">
      <alignment horizontal="center" wrapText="1"/>
    </xf>
    <xf numFmtId="0" fontId="19" fillId="0" borderId="0" xfId="0" applyFont="1" applyAlignment="1">
      <alignment horizontal="left" vertical="top"/>
    </xf>
    <xf numFmtId="0" fontId="17" fillId="2" borderId="0" xfId="0" applyFont="1" applyFill="1" applyAlignment="1">
      <alignment horizontal="left" vertical="top"/>
    </xf>
    <xf numFmtId="0" fontId="19" fillId="2" borderId="0" xfId="0" applyFont="1" applyFill="1" applyAlignment="1">
      <alignment horizontal="left" vertical="top"/>
    </xf>
    <xf numFmtId="0" fontId="17" fillId="9" borderId="0" xfId="0" applyFont="1" applyFill="1" applyAlignment="1">
      <alignment horizontal="left" vertical="top"/>
    </xf>
    <xf numFmtId="0" fontId="24" fillId="6" borderId="0" xfId="0" applyFont="1" applyFill="1" applyAlignment="1">
      <alignment wrapText="1"/>
    </xf>
    <xf numFmtId="0" fontId="24" fillId="6" borderId="0" xfId="0" applyFont="1" applyFill="1" applyAlignment="1">
      <alignment horizontal="center" wrapText="1"/>
    </xf>
    <xf numFmtId="0" fontId="19" fillId="0" borderId="0" xfId="0" applyFont="1" applyAlignment="1">
      <alignment vertical="top" wrapText="1"/>
    </xf>
    <xf numFmtId="0" fontId="19" fillId="0" borderId="0" xfId="0" applyFont="1" applyAlignment="1">
      <alignment horizontal="left"/>
    </xf>
    <xf numFmtId="0" fontId="19" fillId="0" borderId="0" xfId="0" applyFont="1" applyAlignment="1">
      <alignment horizontal="left" wrapText="1"/>
    </xf>
    <xf numFmtId="0" fontId="21" fillId="2" borderId="0" xfId="0" applyFont="1" applyFill="1"/>
    <xf numFmtId="0" fontId="12" fillId="0" borderId="0" xfId="0" applyFont="1" applyAlignment="1">
      <alignment vertical="top"/>
    </xf>
    <xf numFmtId="0" fontId="25" fillId="0" borderId="0" xfId="0" applyFont="1"/>
    <xf numFmtId="0" fontId="25" fillId="0" borderId="0" xfId="0" applyFont="1" applyAlignment="1">
      <alignment horizontal="left" vertical="top" wrapText="1"/>
    </xf>
    <xf numFmtId="0" fontId="19" fillId="13" borderId="24" xfId="0" applyFont="1" applyFill="1" applyBorder="1" applyAlignment="1">
      <alignment horizontal="center"/>
    </xf>
    <xf numFmtId="0" fontId="21" fillId="0" borderId="0" xfId="0" applyFont="1" applyAlignment="1">
      <alignment horizontal="center" vertical="top" wrapText="1"/>
    </xf>
    <xf numFmtId="0" fontId="21" fillId="0" borderId="0" xfId="0" applyFont="1" applyAlignment="1">
      <alignment horizontal="center" vertical="top"/>
    </xf>
    <xf numFmtId="2" fontId="19" fillId="0" borderId="0" xfId="0" applyNumberFormat="1" applyFont="1" applyAlignment="1">
      <alignment horizontal="left" vertical="top"/>
    </xf>
    <xf numFmtId="0" fontId="27" fillId="2" borderId="0" xfId="0" applyFont="1" applyFill="1" applyAlignment="1">
      <alignment wrapText="1"/>
    </xf>
    <xf numFmtId="0" fontId="27" fillId="2" borderId="0" xfId="0" applyFont="1" applyFill="1"/>
    <xf numFmtId="0" fontId="27" fillId="2" borderId="0" xfId="0" applyFont="1" applyFill="1" applyAlignment="1">
      <alignment vertical="top"/>
    </xf>
    <xf numFmtId="0" fontId="17" fillId="0" borderId="0" xfId="0" applyFont="1" applyAlignment="1">
      <alignment horizontal="right"/>
    </xf>
    <xf numFmtId="0" fontId="17" fillId="0" borderId="0" xfId="0" applyFont="1"/>
    <xf numFmtId="0" fontId="17" fillId="0" borderId="0" xfId="0" applyFont="1" applyAlignment="1">
      <alignment horizontal="center"/>
    </xf>
    <xf numFmtId="1" fontId="19" fillId="0" borderId="0" xfId="0" applyNumberFormat="1" applyFont="1" applyAlignment="1">
      <alignment horizontal="center" vertical="top"/>
    </xf>
    <xf numFmtId="0" fontId="21" fillId="6" borderId="0" xfId="0" applyFont="1" applyFill="1" applyAlignment="1">
      <alignment vertical="top"/>
    </xf>
    <xf numFmtId="0" fontId="11" fillId="0" borderId="0" xfId="0" applyFont="1" applyAlignment="1">
      <alignment horizontal="left" vertical="top" wrapText="1"/>
    </xf>
    <xf numFmtId="0" fontId="19" fillId="2" borderId="26" xfId="0" applyFont="1" applyFill="1" applyBorder="1" applyAlignment="1">
      <alignment horizontal="left" vertical="top" wrapText="1"/>
    </xf>
    <xf numFmtId="164" fontId="19" fillId="0" borderId="19" xfId="0" applyNumberFormat="1" applyFont="1" applyBorder="1" applyAlignment="1">
      <alignment horizontal="left" vertical="top" wrapText="1"/>
    </xf>
    <xf numFmtId="0" fontId="17" fillId="9" borderId="67" xfId="0" applyFont="1" applyFill="1" applyBorder="1" applyAlignment="1">
      <alignment horizontal="left" vertical="top"/>
    </xf>
    <xf numFmtId="0" fontId="19" fillId="9" borderId="0" xfId="0" applyFont="1" applyFill="1"/>
    <xf numFmtId="0" fontId="21" fillId="6" borderId="18" xfId="0" applyFont="1" applyFill="1" applyBorder="1" applyAlignment="1">
      <alignment horizontal="center"/>
    </xf>
    <xf numFmtId="0" fontId="17" fillId="0" borderId="24" xfId="0" applyFont="1" applyBorder="1" applyAlignment="1">
      <alignment horizontal="center" wrapText="1"/>
    </xf>
    <xf numFmtId="0" fontId="27" fillId="2" borderId="0" xfId="0" applyFont="1" applyFill="1" applyAlignment="1">
      <alignment horizontal="left" vertical="top"/>
    </xf>
    <xf numFmtId="0" fontId="17" fillId="0" borderId="28" xfId="0" applyFont="1" applyBorder="1" applyAlignment="1">
      <alignment horizontal="left" vertical="top" wrapText="1"/>
    </xf>
    <xf numFmtId="0" fontId="26" fillId="6" borderId="0" xfId="0" applyFont="1" applyFill="1" applyAlignment="1">
      <alignment horizontal="center" vertical="top" wrapText="1"/>
    </xf>
    <xf numFmtId="0" fontId="26" fillId="6" borderId="24" xfId="0" applyFont="1" applyFill="1" applyBorder="1" applyAlignment="1">
      <alignment horizontal="center" vertical="top" wrapText="1"/>
    </xf>
    <xf numFmtId="0" fontId="24" fillId="6" borderId="24" xfId="0" applyFont="1" applyFill="1" applyBorder="1" applyAlignment="1">
      <alignment horizontal="center" vertical="top" wrapText="1"/>
    </xf>
    <xf numFmtId="0" fontId="25" fillId="0" borderId="28" xfId="0" applyFont="1" applyBorder="1" applyAlignment="1">
      <alignment horizontal="left" vertical="top" wrapText="1"/>
    </xf>
    <xf numFmtId="0" fontId="17" fillId="0" borderId="24" xfId="0" applyFont="1" applyBorder="1" applyAlignment="1">
      <alignment horizontal="center" vertical="top" wrapText="1"/>
    </xf>
    <xf numFmtId="0" fontId="25" fillId="0" borderId="24" xfId="0" applyFont="1" applyBorder="1" applyAlignment="1">
      <alignment horizontal="left" vertical="top" wrapText="1"/>
    </xf>
    <xf numFmtId="0" fontId="17" fillId="0" borderId="0" xfId="0" applyFont="1" applyAlignment="1">
      <alignment horizontal="center" vertical="top" wrapText="1"/>
    </xf>
    <xf numFmtId="0" fontId="22" fillId="0" borderId="0" xfId="0" applyFont="1" applyAlignment="1">
      <alignment horizontal="left" vertical="top" wrapText="1"/>
    </xf>
    <xf numFmtId="0" fontId="17" fillId="9" borderId="40" xfId="0" applyFont="1" applyFill="1" applyBorder="1" applyAlignment="1">
      <alignment horizontal="center" vertical="top" wrapText="1"/>
    </xf>
    <xf numFmtId="0" fontId="21" fillId="0" borderId="113" xfId="0" applyFont="1" applyBorder="1" applyAlignment="1">
      <alignment horizontal="center" vertical="top"/>
    </xf>
    <xf numFmtId="0" fontId="21" fillId="0" borderId="114" xfId="0" applyFont="1" applyBorder="1" applyAlignment="1">
      <alignment horizontal="center" vertical="top"/>
    </xf>
    <xf numFmtId="0" fontId="18" fillId="0" borderId="114" xfId="0" applyFont="1" applyBorder="1" applyAlignment="1">
      <alignment horizontal="center" vertical="top" wrapText="1"/>
    </xf>
    <xf numFmtId="0" fontId="24" fillId="6" borderId="114" xfId="0" applyFont="1" applyFill="1" applyBorder="1" applyAlignment="1">
      <alignment horizontal="center" vertical="top"/>
    </xf>
    <xf numFmtId="0" fontId="24" fillId="6" borderId="115" xfId="0" applyFont="1" applyFill="1" applyBorder="1" applyAlignment="1">
      <alignment horizontal="center" vertical="top"/>
    </xf>
    <xf numFmtId="0" fontId="24" fillId="2" borderId="0" xfId="0" applyFont="1" applyFill="1" applyAlignment="1">
      <alignment horizontal="left" vertical="top" wrapText="1"/>
    </xf>
    <xf numFmtId="0" fontId="19" fillId="0" borderId="0" xfId="0" applyFont="1" applyAlignment="1">
      <alignment horizontal="center" vertical="top"/>
    </xf>
    <xf numFmtId="49" fontId="19" fillId="2" borderId="0" xfId="0" applyNumberFormat="1" applyFont="1" applyFill="1" applyAlignment="1">
      <alignment horizontal="left" vertical="top" wrapText="1"/>
    </xf>
    <xf numFmtId="0" fontId="17" fillId="2" borderId="0" xfId="0" applyFont="1" applyFill="1"/>
    <xf numFmtId="49" fontId="19" fillId="2" borderId="0" xfId="0" applyNumberFormat="1" applyFont="1" applyFill="1" applyAlignment="1">
      <alignment horizontal="left" vertical="top"/>
    </xf>
    <xf numFmtId="0" fontId="19" fillId="2" borderId="0" xfId="0" applyFont="1" applyFill="1" applyAlignment="1">
      <alignment horizontal="right"/>
    </xf>
    <xf numFmtId="0" fontId="11" fillId="2" borderId="0" xfId="0" applyFont="1" applyFill="1" applyAlignment="1">
      <alignment vertical="top" wrapText="1"/>
    </xf>
    <xf numFmtId="0" fontId="17" fillId="13" borderId="24" xfId="0" applyFont="1" applyFill="1" applyBorder="1" applyAlignment="1">
      <alignment horizontal="center" vertical="top" wrapText="1"/>
    </xf>
    <xf numFmtId="0" fontId="19" fillId="9" borderId="0" xfId="0" applyFont="1" applyFill="1" applyAlignment="1">
      <alignment vertical="top"/>
    </xf>
    <xf numFmtId="0" fontId="24" fillId="6" borderId="117" xfId="0" applyFont="1" applyFill="1" applyBorder="1" applyAlignment="1">
      <alignment horizontal="center" vertical="top"/>
    </xf>
    <xf numFmtId="0" fontId="12" fillId="2" borderId="0" xfId="0" applyFont="1" applyFill="1" applyAlignment="1">
      <alignment wrapText="1"/>
    </xf>
    <xf numFmtId="0" fontId="12" fillId="0" borderId="24" xfId="0" applyFont="1" applyBorder="1" applyAlignment="1">
      <alignment wrapText="1"/>
    </xf>
    <xf numFmtId="0" fontId="12" fillId="0" borderId="29" xfId="0" applyFont="1" applyBorder="1" applyAlignment="1">
      <alignment wrapText="1"/>
    </xf>
    <xf numFmtId="0" fontId="12" fillId="0" borderId="28" xfId="0" applyFont="1" applyBorder="1" applyAlignment="1">
      <alignment wrapText="1"/>
    </xf>
    <xf numFmtId="0" fontId="25" fillId="2" borderId="0" xfId="0" applyFont="1" applyFill="1"/>
    <xf numFmtId="15" fontId="3" fillId="2" borderId="0" xfId="0" applyNumberFormat="1" applyFont="1" applyFill="1"/>
    <xf numFmtId="0" fontId="21" fillId="0" borderId="24" xfId="0" applyFont="1" applyBorder="1" applyAlignment="1">
      <alignment horizontal="center" wrapText="1"/>
    </xf>
    <xf numFmtId="0" fontId="17" fillId="9" borderId="66" xfId="0" applyFont="1" applyFill="1" applyBorder="1" applyAlignment="1">
      <alignment horizontal="center" vertical="top" wrapText="1"/>
    </xf>
    <xf numFmtId="0" fontId="5" fillId="5" borderId="0" xfId="0" applyFont="1" applyFill="1" applyAlignment="1">
      <alignment vertical="top"/>
    </xf>
    <xf numFmtId="0" fontId="8" fillId="5" borderId="0" xfId="0" applyFont="1" applyFill="1" applyAlignment="1">
      <alignment vertical="top"/>
    </xf>
    <xf numFmtId="0" fontId="12" fillId="0" borderId="46" xfId="0" applyFont="1" applyBorder="1" applyAlignment="1">
      <alignment vertical="top" wrapText="1"/>
    </xf>
    <xf numFmtId="0" fontId="12" fillId="2" borderId="45" xfId="0" applyFont="1" applyFill="1" applyBorder="1" applyAlignment="1">
      <alignment vertical="top" wrapText="1"/>
    </xf>
    <xf numFmtId="0" fontId="12" fillId="0" borderId="45" xfId="0" applyFont="1" applyBorder="1" applyAlignment="1">
      <alignment vertical="top" wrapText="1"/>
    </xf>
    <xf numFmtId="0" fontId="25" fillId="0" borderId="45" xfId="0" applyFont="1" applyBorder="1" applyAlignment="1">
      <alignment vertical="top" wrapText="1"/>
    </xf>
    <xf numFmtId="0" fontId="12" fillId="0" borderId="99" xfId="0" applyFont="1" applyBorder="1" applyAlignment="1">
      <alignment vertical="top" wrapText="1"/>
    </xf>
    <xf numFmtId="0" fontId="19" fillId="2" borderId="45" xfId="0" applyFont="1" applyFill="1" applyBorder="1" applyAlignment="1">
      <alignment vertical="top" wrapText="1"/>
    </xf>
    <xf numFmtId="0" fontId="5" fillId="0" borderId="45" xfId="0" applyFont="1" applyBorder="1" applyAlignment="1">
      <alignment vertical="top" wrapText="1"/>
    </xf>
    <xf numFmtId="0" fontId="5" fillId="0" borderId="99" xfId="0" applyFont="1" applyBorder="1" applyAlignment="1">
      <alignment vertical="top" wrapText="1"/>
    </xf>
    <xf numFmtId="0" fontId="5" fillId="0" borderId="114" xfId="0" applyFont="1" applyBorder="1" applyAlignment="1">
      <alignment vertical="top" wrapText="1"/>
    </xf>
    <xf numFmtId="0" fontId="5" fillId="0" borderId="122" xfId="0" applyFont="1" applyBorder="1" applyAlignment="1">
      <alignment vertical="top" wrapText="1"/>
    </xf>
    <xf numFmtId="0" fontId="12" fillId="0" borderId="114" xfId="0" applyFont="1" applyBorder="1" applyAlignment="1">
      <alignment vertical="top" wrapText="1"/>
    </xf>
    <xf numFmtId="0" fontId="5" fillId="0" borderId="120" xfId="0" applyFont="1" applyBorder="1" applyAlignment="1">
      <alignment vertical="top" wrapText="1"/>
    </xf>
    <xf numFmtId="0" fontId="2" fillId="0" borderId="24" xfId="0" applyFont="1" applyBorder="1" applyAlignment="1">
      <alignment horizontal="center" wrapText="1"/>
    </xf>
    <xf numFmtId="0" fontId="12" fillId="0" borderId="0" xfId="0" applyFont="1" applyAlignment="1">
      <alignment horizontal="left" vertical="top"/>
    </xf>
    <xf numFmtId="0" fontId="5" fillId="0" borderId="119" xfId="0" applyFont="1" applyBorder="1" applyAlignment="1">
      <alignment vertical="top" wrapText="1"/>
    </xf>
    <xf numFmtId="0" fontId="12" fillId="0" borderId="47" xfId="0" applyFont="1" applyBorder="1" applyAlignment="1">
      <alignment vertical="top" wrapText="1"/>
    </xf>
    <xf numFmtId="0" fontId="19" fillId="2" borderId="114" xfId="0" applyFont="1" applyFill="1" applyBorder="1" applyAlignment="1">
      <alignment vertical="top" wrapText="1"/>
    </xf>
    <xf numFmtId="0" fontId="12" fillId="2" borderId="114" xfId="0" applyFont="1" applyFill="1" applyBorder="1" applyAlignment="1">
      <alignment vertical="top" wrapText="1"/>
    </xf>
    <xf numFmtId="0" fontId="5" fillId="0" borderId="121" xfId="0" applyFont="1" applyBorder="1" applyAlignment="1">
      <alignment vertical="top" wrapText="1"/>
    </xf>
    <xf numFmtId="0" fontId="12" fillId="0" borderId="122" xfId="0" applyFont="1" applyBorder="1" applyAlignment="1">
      <alignment vertical="top" wrapText="1"/>
    </xf>
    <xf numFmtId="0" fontId="17" fillId="9" borderId="123" xfId="0" applyFont="1" applyFill="1" applyBorder="1" applyAlignment="1">
      <alignment horizontal="left" vertical="top"/>
    </xf>
    <xf numFmtId="0" fontId="17" fillId="9" borderId="124" xfId="0" applyFont="1" applyFill="1" applyBorder="1" applyAlignment="1">
      <alignment horizontal="left" vertical="top"/>
    </xf>
    <xf numFmtId="0" fontId="21" fillId="0" borderId="125" xfId="0" applyFont="1" applyBorder="1" applyAlignment="1">
      <alignment horizontal="left" vertical="top" wrapText="1"/>
    </xf>
    <xf numFmtId="0" fontId="19" fillId="10" borderId="125" xfId="0" applyFont="1" applyFill="1" applyBorder="1" applyAlignment="1">
      <alignment horizontal="left" vertical="top" wrapText="1"/>
    </xf>
    <xf numFmtId="0" fontId="19" fillId="2" borderId="26" xfId="0" applyFont="1" applyFill="1" applyBorder="1" applyAlignment="1">
      <alignment vertical="top" wrapText="1"/>
    </xf>
    <xf numFmtId="0" fontId="19" fillId="2" borderId="27" xfId="0" applyFont="1" applyFill="1" applyBorder="1" applyAlignment="1">
      <alignment vertical="top" wrapText="1"/>
    </xf>
    <xf numFmtId="0" fontId="17" fillId="9" borderId="54" xfId="0" applyFont="1" applyFill="1" applyBorder="1" applyAlignment="1">
      <alignment vertical="top" wrapText="1"/>
    </xf>
    <xf numFmtId="164" fontId="19" fillId="0" borderId="0" xfId="0" applyNumberFormat="1" applyFont="1" applyAlignment="1">
      <alignment horizontal="left" vertical="top"/>
    </xf>
    <xf numFmtId="0" fontId="17" fillId="2" borderId="105" xfId="0" applyFont="1" applyFill="1" applyBorder="1" applyAlignment="1">
      <alignment horizontal="left" vertical="top"/>
    </xf>
    <xf numFmtId="0" fontId="17" fillId="9" borderId="130" xfId="0" applyFont="1" applyFill="1" applyBorder="1" applyAlignment="1">
      <alignment horizontal="left" vertical="top"/>
    </xf>
    <xf numFmtId="0" fontId="19" fillId="2" borderId="98" xfId="0" applyFont="1" applyFill="1" applyBorder="1" applyAlignment="1">
      <alignment vertical="top" wrapText="1"/>
    </xf>
    <xf numFmtId="0" fontId="19" fillId="2" borderId="40" xfId="0" applyFont="1" applyFill="1" applyBorder="1" applyAlignment="1">
      <alignment vertical="top" wrapText="1"/>
    </xf>
    <xf numFmtId="0" fontId="17" fillId="9" borderId="131" xfId="0" applyFont="1" applyFill="1" applyBorder="1" applyAlignment="1">
      <alignment vertical="top" wrapText="1"/>
    </xf>
    <xf numFmtId="0" fontId="17" fillId="9" borderId="132" xfId="0" applyFont="1" applyFill="1" applyBorder="1" applyAlignment="1">
      <alignment vertical="top" wrapText="1"/>
    </xf>
    <xf numFmtId="164" fontId="19" fillId="0" borderId="0" xfId="0" applyNumberFormat="1" applyFont="1" applyAlignment="1">
      <alignment horizontal="left" vertical="top" wrapText="1"/>
    </xf>
    <xf numFmtId="164" fontId="11" fillId="0" borderId="19" xfId="0" applyNumberFormat="1" applyFont="1" applyBorder="1" applyAlignment="1">
      <alignment horizontal="left" vertical="top" wrapText="1"/>
    </xf>
    <xf numFmtId="0" fontId="17" fillId="9" borderId="24" xfId="0" applyFont="1" applyFill="1" applyBorder="1" applyAlignment="1">
      <alignment horizontal="center" vertical="top" wrapText="1"/>
    </xf>
    <xf numFmtId="0" fontId="11" fillId="2" borderId="0" xfId="0" applyFont="1" applyFill="1" applyAlignment="1">
      <alignment horizontal="left" vertical="top" wrapText="1"/>
    </xf>
    <xf numFmtId="164" fontId="19" fillId="2" borderId="0" xfId="0" applyNumberFormat="1" applyFont="1" applyFill="1" applyAlignment="1">
      <alignment horizontal="left" vertical="top" wrapText="1"/>
    </xf>
    <xf numFmtId="0" fontId="11" fillId="0" borderId="26" xfId="0" applyFont="1" applyBorder="1" applyAlignment="1">
      <alignment horizontal="left" vertical="top" wrapText="1"/>
    </xf>
    <xf numFmtId="164" fontId="11" fillId="0" borderId="133" xfId="0" applyNumberFormat="1" applyFont="1" applyBorder="1" applyAlignment="1">
      <alignment horizontal="left" vertical="top" wrapText="1"/>
    </xf>
    <xf numFmtId="0" fontId="19" fillId="0" borderId="25" xfId="0" applyFont="1" applyBorder="1" applyAlignment="1">
      <alignment horizontal="left" vertical="top" wrapText="1"/>
    </xf>
    <xf numFmtId="0" fontId="25" fillId="2" borderId="0" xfId="0" applyFont="1" applyFill="1" applyAlignment="1">
      <alignment horizontal="left" vertical="top" wrapText="1"/>
    </xf>
    <xf numFmtId="1" fontId="19" fillId="2" borderId="0" xfId="0" applyNumberFormat="1" applyFont="1" applyFill="1" applyAlignment="1">
      <alignment horizontal="left" vertical="top" wrapText="1"/>
    </xf>
    <xf numFmtId="2" fontId="19" fillId="2" borderId="0" xfId="0" applyNumberFormat="1" applyFont="1" applyFill="1" applyAlignment="1">
      <alignment horizontal="left" vertical="top" wrapText="1"/>
    </xf>
    <xf numFmtId="164" fontId="19" fillId="2" borderId="0" xfId="0" applyNumberFormat="1" applyFont="1" applyFill="1" applyAlignment="1">
      <alignment horizontal="right" vertical="top" wrapText="1"/>
    </xf>
    <xf numFmtId="167" fontId="19" fillId="2" borderId="0" xfId="1" applyNumberFormat="1" applyFont="1" applyFill="1" applyBorder="1" applyAlignment="1">
      <alignment horizontal="left" vertical="top" wrapText="1"/>
    </xf>
    <xf numFmtId="164" fontId="19" fillId="2" borderId="0" xfId="0" applyNumberFormat="1" applyFont="1" applyFill="1" applyAlignment="1">
      <alignment horizontal="left" vertical="top"/>
    </xf>
    <xf numFmtId="0" fontId="11" fillId="0" borderId="0" xfId="0" applyFont="1" applyAlignment="1">
      <alignment vertical="top" wrapText="1"/>
    </xf>
    <xf numFmtId="165" fontId="19" fillId="0" borderId="0" xfId="0" applyNumberFormat="1" applyFont="1" applyAlignment="1">
      <alignment horizontal="left" vertical="top"/>
    </xf>
    <xf numFmtId="0" fontId="17" fillId="12" borderId="0" xfId="0" applyFont="1" applyFill="1" applyAlignment="1">
      <alignment horizontal="center" vertical="top" wrapText="1"/>
    </xf>
    <xf numFmtId="0" fontId="17" fillId="12" borderId="29" xfId="0" applyFont="1" applyFill="1" applyBorder="1" applyAlignment="1">
      <alignment horizontal="center" vertical="top" wrapText="1"/>
    </xf>
    <xf numFmtId="0" fontId="17" fillId="12" borderId="24" xfId="0" applyFont="1" applyFill="1" applyBorder="1" applyAlignment="1">
      <alignment horizontal="center" vertical="top" wrapText="1"/>
    </xf>
    <xf numFmtId="0" fontId="21" fillId="2" borderId="0" xfId="0" applyFont="1" applyFill="1" applyAlignment="1">
      <alignment horizontal="center" vertical="top" wrapText="1"/>
    </xf>
    <xf numFmtId="0" fontId="19" fillId="0" borderId="33" xfId="0" applyFont="1" applyBorder="1" applyAlignment="1">
      <alignment horizontal="left" vertical="top"/>
    </xf>
    <xf numFmtId="0" fontId="19" fillId="0" borderId="33" xfId="0" applyFont="1" applyBorder="1" applyAlignment="1">
      <alignment horizontal="left" vertical="top" wrapText="1"/>
    </xf>
    <xf numFmtId="2" fontId="19" fillId="0" borderId="33" xfId="0" applyNumberFormat="1" applyFont="1" applyBorder="1" applyAlignment="1">
      <alignment horizontal="left" vertical="top"/>
    </xf>
    <xf numFmtId="2" fontId="19" fillId="0" borderId="30" xfId="0" applyNumberFormat="1" applyFont="1" applyBorder="1" applyAlignment="1">
      <alignment horizontal="left" vertical="top"/>
    </xf>
    <xf numFmtId="2" fontId="19" fillId="2" borderId="0" xfId="0" applyNumberFormat="1" applyFont="1" applyFill="1" applyAlignment="1">
      <alignment horizontal="left" vertical="top"/>
    </xf>
    <xf numFmtId="0" fontId="21" fillId="2" borderId="29" xfId="0" applyFont="1" applyFill="1" applyBorder="1" applyAlignment="1">
      <alignment horizontal="center" vertical="top" wrapText="1"/>
    </xf>
    <xf numFmtId="0" fontId="19" fillId="0" borderId="26" xfId="0" applyFont="1" applyBorder="1" applyAlignment="1">
      <alignment horizontal="left" vertical="top"/>
    </xf>
    <xf numFmtId="2" fontId="19" fillId="0" borderId="26" xfId="0" applyNumberFormat="1" applyFont="1" applyBorder="1" applyAlignment="1">
      <alignment horizontal="left" vertical="top"/>
    </xf>
    <xf numFmtId="9" fontId="19" fillId="0" borderId="26" xfId="0" applyNumberFormat="1" applyFont="1" applyBorder="1" applyAlignment="1">
      <alignment horizontal="left" vertical="top" wrapText="1"/>
    </xf>
    <xf numFmtId="2" fontId="19" fillId="0" borderId="19" xfId="0" applyNumberFormat="1" applyFont="1" applyBorder="1" applyAlignment="1">
      <alignment horizontal="right" vertical="top"/>
    </xf>
    <xf numFmtId="2" fontId="19" fillId="2" borderId="0" xfId="0" applyNumberFormat="1" applyFont="1" applyFill="1" applyAlignment="1">
      <alignment horizontal="right" vertical="top"/>
    </xf>
    <xf numFmtId="0" fontId="17" fillId="0" borderId="0" xfId="0" applyFont="1" applyAlignment="1">
      <alignment horizontal="center" vertical="top"/>
    </xf>
    <xf numFmtId="2" fontId="19" fillId="0" borderId="0" xfId="0" applyNumberFormat="1" applyFont="1" applyAlignment="1">
      <alignment horizontal="right" vertical="top"/>
    </xf>
    <xf numFmtId="165" fontId="19" fillId="0" borderId="0" xfId="0" applyNumberFormat="1" applyFont="1" applyAlignment="1">
      <alignment horizontal="left" vertical="top" wrapText="1"/>
    </xf>
    <xf numFmtId="2" fontId="19" fillId="0" borderId="0" xfId="0" applyNumberFormat="1" applyFont="1" applyAlignment="1">
      <alignment horizontal="left" vertical="top" wrapText="1"/>
    </xf>
    <xf numFmtId="165" fontId="3" fillId="0" borderId="0" xfId="0" applyNumberFormat="1" applyFont="1" applyAlignment="1">
      <alignment horizontal="left" vertical="top" wrapText="1"/>
    </xf>
    <xf numFmtId="2" fontId="3" fillId="0" borderId="0" xfId="0" applyNumberFormat="1" applyFont="1" applyAlignment="1">
      <alignment horizontal="left" vertical="top" wrapText="1"/>
    </xf>
    <xf numFmtId="164" fontId="19" fillId="2" borderId="0" xfId="0" applyNumberFormat="1" applyFont="1" applyFill="1" applyAlignment="1">
      <alignment vertical="top"/>
    </xf>
    <xf numFmtId="164" fontId="17" fillId="12" borderId="0" xfId="0" applyNumberFormat="1" applyFont="1" applyFill="1" applyAlignment="1">
      <alignment horizontal="center" vertical="top"/>
    </xf>
    <xf numFmtId="0" fontId="17" fillId="9" borderId="66" xfId="0" applyFont="1" applyFill="1" applyBorder="1" applyAlignment="1">
      <alignment vertical="top"/>
    </xf>
    <xf numFmtId="0" fontId="18" fillId="9" borderId="66" xfId="0" applyFont="1" applyFill="1" applyBorder="1" applyAlignment="1">
      <alignment vertical="top"/>
    </xf>
    <xf numFmtId="0" fontId="18" fillId="9" borderId="66" xfId="0" applyFont="1" applyFill="1" applyBorder="1" applyAlignment="1">
      <alignment horizontal="center" vertical="top"/>
    </xf>
    <xf numFmtId="164" fontId="18" fillId="9" borderId="66" xfId="0" applyNumberFormat="1" applyFont="1" applyFill="1" applyBorder="1" applyAlignment="1">
      <alignment horizontal="center" vertical="top"/>
    </xf>
    <xf numFmtId="0" fontId="17" fillId="14" borderId="39" xfId="0" applyFont="1" applyFill="1" applyBorder="1" applyAlignment="1">
      <alignment horizontal="right" vertical="top"/>
    </xf>
    <xf numFmtId="0" fontId="18" fillId="0" borderId="39" xfId="0" applyFont="1" applyBorder="1" applyAlignment="1">
      <alignment horizontal="left" vertical="top"/>
    </xf>
    <xf numFmtId="0" fontId="18" fillId="0" borderId="0" xfId="0" applyFont="1" applyAlignment="1">
      <alignment horizontal="center" vertical="top"/>
    </xf>
    <xf numFmtId="0" fontId="28" fillId="2" borderId="0" xfId="0" applyFont="1" applyFill="1" applyAlignment="1">
      <alignment vertical="top"/>
    </xf>
    <xf numFmtId="15" fontId="27" fillId="2" borderId="0" xfId="0" applyNumberFormat="1" applyFont="1" applyFill="1" applyAlignment="1">
      <alignment vertical="top"/>
    </xf>
    <xf numFmtId="0" fontId="17" fillId="9" borderId="66" xfId="0" applyFont="1" applyFill="1" applyBorder="1" applyAlignment="1">
      <alignment horizontal="center" vertical="top"/>
    </xf>
    <xf numFmtId="0" fontId="17" fillId="9" borderId="134" xfId="0" applyFont="1" applyFill="1" applyBorder="1" applyAlignment="1">
      <alignment vertical="top"/>
    </xf>
    <xf numFmtId="0" fontId="18" fillId="0" borderId="23" xfId="0" applyFont="1" applyBorder="1" applyAlignment="1">
      <alignment horizontal="left" vertical="top"/>
    </xf>
    <xf numFmtId="164" fontId="17" fillId="12" borderId="135" xfId="0" applyNumberFormat="1" applyFont="1" applyFill="1" applyBorder="1" applyAlignment="1">
      <alignment horizontal="left" vertical="top"/>
    </xf>
    <xf numFmtId="164" fontId="17" fillId="9" borderId="66" xfId="0" applyNumberFormat="1" applyFont="1" applyFill="1" applyBorder="1" applyAlignment="1">
      <alignment vertical="top"/>
    </xf>
    <xf numFmtId="0" fontId="19" fillId="11" borderId="0" xfId="0" applyFont="1" applyFill="1" applyAlignment="1">
      <alignment vertical="top"/>
    </xf>
    <xf numFmtId="0" fontId="17" fillId="14" borderId="0" xfId="0" applyFont="1" applyFill="1" applyAlignment="1">
      <alignment horizontal="right" vertical="top"/>
    </xf>
    <xf numFmtId="0" fontId="18" fillId="0" borderId="0" xfId="0" applyFont="1" applyAlignment="1">
      <alignment horizontal="left" vertical="top"/>
    </xf>
    <xf numFmtId="0" fontId="12" fillId="9" borderId="0" xfId="0" applyFont="1" applyFill="1" applyAlignment="1">
      <alignment horizontal="center" vertical="top"/>
    </xf>
    <xf numFmtId="0" fontId="19" fillId="9" borderId="134" xfId="0" applyFont="1" applyFill="1" applyBorder="1" applyAlignment="1">
      <alignment vertical="top"/>
    </xf>
    <xf numFmtId="49" fontId="19" fillId="0" borderId="0" xfId="0" applyNumberFormat="1" applyFont="1" applyAlignment="1">
      <alignment horizontal="left" vertical="top" wrapText="1"/>
    </xf>
    <xf numFmtId="0" fontId="12" fillId="6" borderId="0" xfId="0" applyFont="1" applyFill="1" applyAlignment="1">
      <alignment horizontal="center" vertical="top"/>
    </xf>
    <xf numFmtId="6" fontId="19" fillId="2" borderId="0" xfId="0" applyNumberFormat="1" applyFont="1" applyFill="1" applyAlignment="1">
      <alignment vertical="top"/>
    </xf>
    <xf numFmtId="167" fontId="19" fillId="2" borderId="0" xfId="1" applyNumberFormat="1" applyFont="1" applyFill="1" applyAlignment="1">
      <alignment vertical="top"/>
    </xf>
    <xf numFmtId="167" fontId="11" fillId="0" borderId="0" xfId="1" applyNumberFormat="1" applyFont="1" applyFill="1" applyAlignment="1">
      <alignment horizontal="left" vertical="top" wrapText="1"/>
    </xf>
    <xf numFmtId="167" fontId="11" fillId="0" borderId="0" xfId="0" applyNumberFormat="1" applyFont="1" applyAlignment="1">
      <alignment horizontal="left" vertical="top" wrapText="1"/>
    </xf>
    <xf numFmtId="164" fontId="11" fillId="0" borderId="0" xfId="0" applyNumberFormat="1" applyFont="1" applyAlignment="1">
      <alignment horizontal="left" vertical="top" wrapText="1"/>
    </xf>
    <xf numFmtId="164" fontId="11" fillId="0" borderId="136" xfId="0" applyNumberFormat="1" applyFont="1" applyBorder="1" applyAlignment="1">
      <alignment horizontal="left" vertical="top" wrapText="1"/>
    </xf>
    <xf numFmtId="167" fontId="19" fillId="0" borderId="0" xfId="1" applyNumberFormat="1" applyFont="1" applyFill="1" applyAlignment="1">
      <alignment vertical="top"/>
    </xf>
    <xf numFmtId="0" fontId="19" fillId="9" borderId="24" xfId="0" applyFont="1" applyFill="1" applyBorder="1"/>
    <xf numFmtId="0" fontId="19" fillId="9" borderId="28" xfId="0" applyFont="1" applyFill="1" applyBorder="1" applyAlignment="1">
      <alignment horizontal="center"/>
    </xf>
    <xf numFmtId="0" fontId="19" fillId="9" borderId="24" xfId="0" applyFont="1" applyFill="1" applyBorder="1" applyAlignment="1">
      <alignment horizontal="left" wrapText="1"/>
    </xf>
    <xf numFmtId="0" fontId="19" fillId="9" borderId="24" xfId="0" applyFont="1" applyFill="1" applyBorder="1" applyAlignment="1">
      <alignment horizontal="center" wrapText="1"/>
    </xf>
    <xf numFmtId="0" fontId="19" fillId="9" borderId="24" xfId="0" applyFont="1" applyFill="1" applyBorder="1" applyAlignment="1">
      <alignment horizontal="center"/>
    </xf>
    <xf numFmtId="164" fontId="19" fillId="0" borderId="0" xfId="0" applyNumberFormat="1" applyFont="1" applyAlignment="1">
      <alignment horizontal="center" vertical="top"/>
    </xf>
    <xf numFmtId="0" fontId="12" fillId="6" borderId="0" xfId="0" applyFont="1" applyFill="1" applyAlignment="1">
      <alignment horizontal="left" vertical="top"/>
    </xf>
    <xf numFmtId="0" fontId="3" fillId="9" borderId="0" xfId="0" applyFont="1" applyFill="1"/>
    <xf numFmtId="0" fontId="4" fillId="6" borderId="24" xfId="0" applyFont="1" applyFill="1" applyBorder="1" applyAlignment="1">
      <alignment horizontal="center" vertical="top" wrapText="1"/>
    </xf>
    <xf numFmtId="49" fontId="12" fillId="0" borderId="0" xfId="0" applyNumberFormat="1" applyFont="1" applyAlignment="1">
      <alignment vertical="top" wrapText="1"/>
    </xf>
    <xf numFmtId="49" fontId="12" fillId="0" borderId="0" xfId="0" applyNumberFormat="1" applyFont="1" applyAlignment="1">
      <alignment horizontal="left" vertical="top" wrapText="1"/>
    </xf>
    <xf numFmtId="164" fontId="12" fillId="0" borderId="0" xfId="0" applyNumberFormat="1" applyFont="1" applyAlignment="1">
      <alignment horizontal="right" vertical="top" wrapText="1"/>
    </xf>
    <xf numFmtId="2" fontId="12" fillId="0" borderId="0" xfId="0" applyNumberFormat="1" applyFont="1" applyAlignment="1">
      <alignment horizontal="left" vertical="top" wrapText="1"/>
    </xf>
    <xf numFmtId="164" fontId="12" fillId="0" borderId="0" xfId="0" applyNumberFormat="1" applyFont="1" applyAlignment="1">
      <alignment horizontal="center" vertical="top" wrapText="1"/>
    </xf>
    <xf numFmtId="0" fontId="12" fillId="2" borderId="0" xfId="0" applyFont="1" applyFill="1" applyAlignment="1">
      <alignment horizontal="left" vertical="top" wrapText="1"/>
    </xf>
    <xf numFmtId="0" fontId="24" fillId="6" borderId="0" xfId="0" applyFont="1" applyFill="1" applyAlignment="1">
      <alignment horizontal="center"/>
    </xf>
    <xf numFmtId="165" fontId="11" fillId="0" borderId="0" xfId="0" applyNumberFormat="1" applyFont="1" applyAlignment="1">
      <alignment horizontal="left" vertical="top" wrapText="1"/>
    </xf>
    <xf numFmtId="0" fontId="3" fillId="0" borderId="0" xfId="0" applyFont="1" applyAlignment="1">
      <alignment horizontal="right"/>
    </xf>
    <xf numFmtId="0" fontId="3" fillId="0" borderId="0" xfId="0" applyFont="1" applyAlignment="1">
      <alignment horizontal="center"/>
    </xf>
    <xf numFmtId="49" fontId="3" fillId="0" borderId="0" xfId="0" applyNumberFormat="1" applyFont="1" applyAlignment="1">
      <alignment horizontal="left"/>
    </xf>
    <xf numFmtId="49" fontId="3" fillId="0" borderId="0" xfId="0" applyNumberFormat="1" applyFont="1" applyAlignment="1">
      <alignment wrapText="1"/>
    </xf>
    <xf numFmtId="0" fontId="17" fillId="10" borderId="26" xfId="0" applyFont="1" applyFill="1" applyBorder="1" applyAlignment="1">
      <alignment horizontal="left" vertical="top" wrapText="1"/>
    </xf>
    <xf numFmtId="0" fontId="19" fillId="10" borderId="26" xfId="0" applyFont="1" applyFill="1" applyBorder="1" applyAlignment="1">
      <alignment horizontal="left" vertical="top" wrapText="1"/>
    </xf>
    <xf numFmtId="49" fontId="19" fillId="10" borderId="26" xfId="0" applyNumberFormat="1" applyFont="1" applyFill="1" applyBorder="1" applyAlignment="1">
      <alignment horizontal="left" vertical="top" wrapText="1"/>
    </xf>
    <xf numFmtId="166" fontId="17" fillId="10" borderId="26" xfId="0" applyNumberFormat="1" applyFont="1" applyFill="1" applyBorder="1" applyAlignment="1">
      <alignment horizontal="left" vertical="top" wrapText="1"/>
    </xf>
    <xf numFmtId="166" fontId="19" fillId="10" borderId="26" xfId="0" applyNumberFormat="1" applyFont="1" applyFill="1" applyBorder="1" applyAlignment="1">
      <alignment horizontal="left" vertical="top" wrapText="1"/>
    </xf>
    <xf numFmtId="166" fontId="19" fillId="10" borderId="26" xfId="1" applyNumberFormat="1" applyFont="1" applyFill="1" applyBorder="1" applyAlignment="1">
      <alignment horizontal="left" vertical="top" wrapText="1"/>
    </xf>
    <xf numFmtId="49" fontId="20" fillId="10" borderId="26" xfId="2" applyNumberFormat="1" applyFont="1" applyFill="1" applyBorder="1" applyAlignment="1">
      <alignment horizontal="left" vertical="top" wrapText="1"/>
    </xf>
    <xf numFmtId="0" fontId="2" fillId="9" borderId="140" xfId="0" applyFont="1" applyFill="1" applyBorder="1" applyAlignment="1">
      <alignment horizontal="center" vertical="top"/>
    </xf>
    <xf numFmtId="0" fontId="7" fillId="0" borderId="28" xfId="0" applyFont="1" applyBorder="1" applyAlignment="1">
      <alignment horizontal="center"/>
    </xf>
    <xf numFmtId="0" fontId="7" fillId="0" borderId="24" xfId="0" applyFont="1" applyBorder="1" applyAlignment="1">
      <alignment horizontal="center"/>
    </xf>
    <xf numFmtId="0" fontId="5" fillId="0" borderId="0" xfId="0" applyFont="1" applyAlignment="1">
      <alignment horizontal="left" vertical="top" wrapText="1"/>
    </xf>
    <xf numFmtId="164" fontId="5" fillId="0" borderId="24" xfId="0" applyNumberFormat="1" applyFont="1" applyBorder="1" applyAlignment="1">
      <alignment horizontal="right" vertical="top" wrapText="1"/>
    </xf>
    <xf numFmtId="2" fontId="5" fillId="0" borderId="29" xfId="0" applyNumberFormat="1" applyFont="1" applyBorder="1" applyAlignment="1">
      <alignment horizontal="left" vertical="top" wrapText="1"/>
    </xf>
    <xf numFmtId="0" fontId="5" fillId="0" borderId="24" xfId="0" applyFont="1" applyBorder="1" applyAlignment="1">
      <alignment horizontal="left" vertical="top" wrapText="1"/>
    </xf>
    <xf numFmtId="164" fontId="5" fillId="0" borderId="29" xfId="0" applyNumberFormat="1" applyFont="1" applyBorder="1" applyAlignment="1">
      <alignment horizontal="left" vertical="top" wrapText="1"/>
    </xf>
    <xf numFmtId="0" fontId="5" fillId="0" borderId="28" xfId="0" applyFont="1" applyBorder="1" applyAlignment="1">
      <alignment horizontal="left" vertical="top" wrapText="1"/>
    </xf>
    <xf numFmtId="0" fontId="5" fillId="2" borderId="28" xfId="0" applyFont="1" applyFill="1" applyBorder="1" applyAlignment="1">
      <alignment horizontal="left" vertical="top" wrapText="1"/>
    </xf>
    <xf numFmtId="0" fontId="12" fillId="5" borderId="0" xfId="0" applyFont="1" applyFill="1" applyAlignment="1">
      <alignment vertical="top"/>
    </xf>
    <xf numFmtId="0" fontId="2" fillId="9" borderId="140" xfId="0" applyFont="1" applyFill="1" applyBorder="1" applyAlignment="1">
      <alignment vertical="top"/>
    </xf>
    <xf numFmtId="0" fontId="2" fillId="9" borderId="0" xfId="0" applyFont="1" applyFill="1" applyAlignment="1">
      <alignment horizontal="center" vertical="top"/>
    </xf>
    <xf numFmtId="0" fontId="5" fillId="6" borderId="40" xfId="0" applyFont="1" applyFill="1" applyBorder="1" applyAlignment="1">
      <alignment horizontal="left" vertical="top" wrapText="1"/>
    </xf>
    <xf numFmtId="0" fontId="18" fillId="9" borderId="54" xfId="0" applyFont="1" applyFill="1" applyBorder="1" applyAlignment="1">
      <alignment horizontal="center" vertical="top" wrapText="1"/>
    </xf>
    <xf numFmtId="0" fontId="17" fillId="9" borderId="0" xfId="0" applyFont="1" applyFill="1" applyAlignment="1">
      <alignment horizontal="center"/>
    </xf>
    <xf numFmtId="0" fontId="31" fillId="2" borderId="0" xfId="0" applyFont="1" applyFill="1"/>
    <xf numFmtId="0" fontId="32" fillId="2" borderId="0" xfId="0" applyFont="1" applyFill="1"/>
    <xf numFmtId="49" fontId="19" fillId="2" borderId="0" xfId="0" applyNumberFormat="1" applyFont="1" applyFill="1"/>
    <xf numFmtId="0" fontId="17" fillId="9" borderId="146" xfId="0" applyFont="1" applyFill="1" applyBorder="1" applyAlignment="1">
      <alignment horizontal="left" vertical="top"/>
    </xf>
    <xf numFmtId="0" fontId="17" fillId="9" borderId="147" xfId="0" applyFont="1" applyFill="1" applyBorder="1" applyAlignment="1">
      <alignment horizontal="left" vertical="top"/>
    </xf>
    <xf numFmtId="0" fontId="17" fillId="9" borderId="147" xfId="0" applyFont="1" applyFill="1" applyBorder="1" applyAlignment="1">
      <alignment horizontal="left" vertical="top" wrapText="1"/>
    </xf>
    <xf numFmtId="0" fontId="17" fillId="9" borderId="130" xfId="0" applyFont="1" applyFill="1" applyBorder="1" applyAlignment="1">
      <alignment horizontal="left" vertical="top" wrapText="1"/>
    </xf>
    <xf numFmtId="0" fontId="24" fillId="6" borderId="0" xfId="0" applyFont="1" applyFill="1" applyAlignment="1">
      <alignment horizontal="left" wrapText="1"/>
    </xf>
    <xf numFmtId="0" fontId="8" fillId="5" borderId="0" xfId="0" applyFont="1" applyFill="1" applyAlignment="1">
      <alignment horizontal="left" vertical="top"/>
    </xf>
    <xf numFmtId="0" fontId="8" fillId="16" borderId="34" xfId="0" applyFont="1" applyFill="1" applyBorder="1" applyAlignment="1">
      <alignment vertical="top"/>
    </xf>
    <xf numFmtId="0" fontId="2" fillId="9" borderId="0" xfId="0" applyFont="1" applyFill="1" applyAlignment="1">
      <alignment vertical="top"/>
    </xf>
    <xf numFmtId="0" fontId="17" fillId="9" borderId="0" xfId="0" applyFont="1" applyFill="1" applyAlignment="1">
      <alignment horizontal="center" vertical="top"/>
    </xf>
    <xf numFmtId="0" fontId="12" fillId="5" borderId="0" xfId="0" applyFont="1" applyFill="1" applyAlignment="1">
      <alignment horizontal="left" vertical="top"/>
    </xf>
    <xf numFmtId="165" fontId="12" fillId="0" borderId="0" xfId="0" applyNumberFormat="1" applyFont="1" applyAlignment="1">
      <alignment horizontal="right" vertical="top" wrapText="1"/>
    </xf>
    <xf numFmtId="165" fontId="12" fillId="0" borderId="0" xfId="0" applyNumberFormat="1" applyFont="1" applyAlignment="1">
      <alignment vertical="top" wrapText="1"/>
    </xf>
    <xf numFmtId="165" fontId="12" fillId="0" borderId="0" xfId="0" applyNumberFormat="1" applyFont="1" applyAlignment="1">
      <alignment horizontal="left" vertical="top" wrapText="1"/>
    </xf>
    <xf numFmtId="3" fontId="19" fillId="0" borderId="0" xfId="0" applyNumberFormat="1" applyFont="1" applyAlignment="1">
      <alignment vertical="top" wrapText="1"/>
    </xf>
    <xf numFmtId="0" fontId="4" fillId="5" borderId="0" xfId="0" applyFont="1" applyFill="1" applyAlignment="1">
      <alignment vertical="top" wrapText="1"/>
    </xf>
    <xf numFmtId="0" fontId="4" fillId="5" borderId="118" xfId="0" applyFont="1" applyFill="1" applyBorder="1" applyAlignment="1">
      <alignment vertical="top"/>
    </xf>
    <xf numFmtId="0" fontId="21" fillId="0" borderId="40" xfId="0" applyFont="1" applyBorder="1" applyAlignment="1">
      <alignment vertical="top" wrapText="1"/>
    </xf>
    <xf numFmtId="0" fontId="21" fillId="0" borderId="26" xfId="0" applyFont="1" applyBorder="1" applyAlignment="1">
      <alignment vertical="top" wrapText="1"/>
    </xf>
    <xf numFmtId="0" fontId="21" fillId="2" borderId="112" xfId="0" applyFont="1" applyFill="1" applyBorder="1" applyAlignment="1">
      <alignment vertical="top" wrapText="1"/>
    </xf>
    <xf numFmtId="0" fontId="21" fillId="2" borderId="41" xfId="0" applyFont="1" applyFill="1" applyBorder="1" applyAlignment="1">
      <alignment vertical="top" wrapText="1"/>
    </xf>
    <xf numFmtId="0" fontId="21" fillId="0" borderId="27" xfId="0" applyFont="1" applyBorder="1" applyAlignment="1">
      <alignment vertical="top" wrapText="1"/>
    </xf>
    <xf numFmtId="0" fontId="21" fillId="0" borderId="116" xfId="0" applyFont="1" applyBorder="1" applyAlignment="1">
      <alignment vertical="top" wrapText="1"/>
    </xf>
    <xf numFmtId="0" fontId="24" fillId="9" borderId="149" xfId="0" applyFont="1" applyFill="1" applyBorder="1" applyAlignment="1">
      <alignment horizontal="center" vertical="top" wrapText="1"/>
    </xf>
    <xf numFmtId="0" fontId="17" fillId="12" borderId="116" xfId="0" applyFont="1" applyFill="1" applyBorder="1" applyAlignment="1">
      <alignment vertical="top" wrapText="1"/>
    </xf>
    <xf numFmtId="0" fontId="24" fillId="7" borderId="0" xfId="0" applyFont="1" applyFill="1" applyAlignment="1">
      <alignment horizontal="center" vertical="top" wrapText="1"/>
    </xf>
    <xf numFmtId="0" fontId="12" fillId="0" borderId="65" xfId="0" applyFont="1" applyBorder="1"/>
    <xf numFmtId="0" fontId="12" fillId="0" borderId="151" xfId="0" applyFont="1" applyBorder="1"/>
    <xf numFmtId="0" fontId="12" fillId="0" borderId="34" xfId="0" applyFont="1" applyBorder="1"/>
    <xf numFmtId="0" fontId="12" fillId="0" borderId="90" xfId="0" applyFont="1" applyBorder="1"/>
    <xf numFmtId="0" fontId="24" fillId="16" borderId="0" xfId="0" applyFont="1" applyFill="1" applyAlignment="1">
      <alignment vertical="top"/>
    </xf>
    <xf numFmtId="0" fontId="24" fillId="16" borderId="152" xfId="0" applyFont="1" applyFill="1" applyBorder="1" applyAlignment="1">
      <alignment vertical="top"/>
    </xf>
    <xf numFmtId="0" fontId="12" fillId="5" borderId="0" xfId="0" applyFont="1" applyFill="1" applyAlignment="1">
      <alignment horizontal="center" vertical="top"/>
    </xf>
    <xf numFmtId="0" fontId="24" fillId="6" borderId="0" xfId="0" applyFont="1" applyFill="1" applyAlignment="1">
      <alignment horizontal="center" vertical="top" wrapText="1"/>
    </xf>
    <xf numFmtId="0" fontId="24" fillId="6" borderId="24" xfId="0" applyFont="1" applyFill="1" applyBorder="1" applyAlignment="1">
      <alignment horizontal="center" vertical="top"/>
    </xf>
    <xf numFmtId="1" fontId="19" fillId="0" borderId="0" xfId="0" applyNumberFormat="1" applyFont="1" applyAlignment="1">
      <alignment horizontal="left" vertical="top"/>
    </xf>
    <xf numFmtId="0" fontId="27" fillId="0" borderId="0" xfId="0" applyFont="1"/>
    <xf numFmtId="0" fontId="5" fillId="0" borderId="0" xfId="0" applyFont="1"/>
    <xf numFmtId="0" fontId="12" fillId="2" borderId="0" xfId="0" applyFont="1" applyFill="1"/>
    <xf numFmtId="0" fontId="19" fillId="0" borderId="0" xfId="0" applyFont="1" applyAlignment="1">
      <alignment horizontal="right" vertical="top" indent="1"/>
    </xf>
    <xf numFmtId="0" fontId="12" fillId="5" borderId="0" xfId="0" applyFont="1" applyFill="1"/>
    <xf numFmtId="0" fontId="18" fillId="9" borderId="0" xfId="0" applyFont="1" applyFill="1"/>
    <xf numFmtId="0" fontId="21" fillId="2" borderId="43" xfId="0" applyFont="1" applyFill="1" applyBorder="1"/>
    <xf numFmtId="0" fontId="19" fillId="2" borderId="98" xfId="0" applyFont="1" applyFill="1" applyBorder="1" applyAlignment="1">
      <alignment wrapText="1"/>
    </xf>
    <xf numFmtId="0" fontId="19" fillId="2" borderId="98" xfId="0" applyFont="1" applyFill="1" applyBorder="1"/>
    <xf numFmtId="0" fontId="19" fillId="2" borderId="68" xfId="0" applyFont="1" applyFill="1" applyBorder="1"/>
    <xf numFmtId="0" fontId="17" fillId="9" borderId="38" xfId="0" applyFont="1" applyFill="1" applyBorder="1" applyAlignment="1">
      <alignment horizontal="center"/>
    </xf>
    <xf numFmtId="0" fontId="21" fillId="0" borderId="0" xfId="0" applyFont="1"/>
    <xf numFmtId="0" fontId="17" fillId="0" borderId="137" xfId="0" applyFont="1" applyBorder="1"/>
    <xf numFmtId="0" fontId="19" fillId="13" borderId="24" xfId="0" applyFont="1" applyFill="1" applyBorder="1"/>
    <xf numFmtId="0" fontId="12" fillId="0" borderId="89" xfId="0" applyFont="1" applyBorder="1"/>
    <xf numFmtId="0" fontId="12" fillId="0" borderId="88" xfId="0" applyFont="1" applyBorder="1"/>
    <xf numFmtId="0" fontId="12" fillId="0" borderId="28" xfId="0" applyFont="1" applyBorder="1"/>
    <xf numFmtId="0" fontId="12" fillId="0" borderId="24" xfId="0" applyFont="1" applyBorder="1"/>
    <xf numFmtId="0" fontId="12" fillId="0" borderId="35" xfId="0" applyFont="1" applyBorder="1"/>
    <xf numFmtId="0" fontId="24" fillId="16" borderId="138" xfId="0" applyFont="1" applyFill="1" applyBorder="1" applyAlignment="1">
      <alignment horizontal="center"/>
    </xf>
    <xf numFmtId="0" fontId="24" fillId="16" borderId="139" xfId="0" applyFont="1" applyFill="1" applyBorder="1" applyAlignment="1">
      <alignment horizontal="center"/>
    </xf>
    <xf numFmtId="0" fontId="24" fillId="16" borderId="35" xfId="0" applyFont="1" applyFill="1" applyBorder="1"/>
    <xf numFmtId="0" fontId="24" fillId="16" borderId="34" xfId="0" applyFont="1" applyFill="1" applyBorder="1"/>
    <xf numFmtId="0" fontId="24" fillId="16" borderId="0" xfId="0" applyFont="1" applyFill="1"/>
    <xf numFmtId="0" fontId="24" fillId="16" borderId="152" xfId="0" applyFont="1" applyFill="1" applyBorder="1"/>
    <xf numFmtId="0" fontId="25" fillId="5" borderId="0" xfId="0" applyFont="1" applyFill="1" applyAlignment="1">
      <alignment wrapText="1"/>
    </xf>
    <xf numFmtId="0" fontId="30" fillId="9" borderId="0" xfId="0" applyFont="1" applyFill="1" applyAlignment="1">
      <alignment horizontal="center"/>
    </xf>
    <xf numFmtId="0" fontId="29" fillId="9" borderId="0" xfId="0" applyFont="1" applyFill="1" applyAlignment="1">
      <alignment horizontal="center"/>
    </xf>
    <xf numFmtId="0" fontId="2" fillId="9" borderId="0" xfId="0" applyFont="1" applyFill="1" applyAlignment="1">
      <alignment horizontal="center" vertical="top" wrapText="1"/>
    </xf>
    <xf numFmtId="0" fontId="2" fillId="9" borderId="49" xfId="0" applyFont="1" applyFill="1" applyBorder="1" applyAlignment="1">
      <alignment horizontal="center" vertical="top" wrapText="1"/>
    </xf>
    <xf numFmtId="0" fontId="2" fillId="9" borderId="48" xfId="0" applyFont="1" applyFill="1" applyBorder="1" applyAlignment="1">
      <alignment horizontal="center" vertical="top" wrapText="1"/>
    </xf>
    <xf numFmtId="0" fontId="2" fillId="9" borderId="50" xfId="0" applyFont="1" applyFill="1" applyBorder="1" applyAlignment="1">
      <alignment horizontal="center" vertical="top" wrapText="1"/>
    </xf>
    <xf numFmtId="0" fontId="17" fillId="9" borderId="0" xfId="0" applyFont="1" applyFill="1" applyAlignment="1">
      <alignment horizontal="center" vertical="center" textRotation="90"/>
    </xf>
    <xf numFmtId="49" fontId="19" fillId="2" borderId="55" xfId="0" applyNumberFormat="1" applyFont="1" applyFill="1" applyBorder="1" applyAlignment="1">
      <alignment horizontal="left" vertical="top" wrapText="1"/>
    </xf>
    <xf numFmtId="49" fontId="19" fillId="2" borderId="54" xfId="0" applyNumberFormat="1" applyFont="1" applyFill="1" applyBorder="1" applyAlignment="1">
      <alignment horizontal="left" vertical="top" wrapText="1"/>
    </xf>
    <xf numFmtId="49" fontId="17" fillId="9" borderId="21" xfId="0" applyNumberFormat="1" applyFont="1" applyFill="1" applyBorder="1" applyAlignment="1">
      <alignment horizontal="center" vertical="top" wrapText="1"/>
    </xf>
    <xf numFmtId="49" fontId="17" fillId="9" borderId="22" xfId="0" applyNumberFormat="1" applyFont="1" applyFill="1" applyBorder="1" applyAlignment="1">
      <alignment horizontal="center" vertical="top" wrapText="1"/>
    </xf>
    <xf numFmtId="49" fontId="19" fillId="2" borderId="111" xfId="0" applyNumberFormat="1" applyFont="1" applyFill="1" applyBorder="1" applyAlignment="1">
      <alignment horizontal="left" vertical="top" wrapText="1"/>
    </xf>
    <xf numFmtId="49" fontId="19" fillId="2" borderId="110" xfId="0" applyNumberFormat="1" applyFont="1" applyFill="1" applyBorder="1" applyAlignment="1">
      <alignment horizontal="left" vertical="top" wrapText="1"/>
    </xf>
    <xf numFmtId="0" fontId="29" fillId="9" borderId="0" xfId="0" applyFont="1" applyFill="1" applyAlignment="1">
      <alignment horizontal="center" vertical="top" wrapText="1"/>
    </xf>
    <xf numFmtId="0" fontId="17" fillId="9" borderId="38" xfId="0" applyFont="1" applyFill="1" applyBorder="1" applyAlignment="1">
      <alignment horizontal="center" vertical="top" wrapText="1"/>
    </xf>
    <xf numFmtId="0" fontId="17" fillId="9" borderId="0" xfId="0" applyFont="1" applyFill="1" applyAlignment="1">
      <alignment horizontal="center" vertical="top" wrapText="1"/>
    </xf>
    <xf numFmtId="0" fontId="17" fillId="9" borderId="141" xfId="0" applyFont="1" applyFill="1" applyBorder="1" applyAlignment="1">
      <alignment horizontal="center" vertical="top" wrapText="1"/>
    </xf>
    <xf numFmtId="0" fontId="17" fillId="9" borderId="98" xfId="0" applyFont="1" applyFill="1" applyBorder="1" applyAlignment="1">
      <alignment horizontal="center" vertical="top" wrapText="1"/>
    </xf>
    <xf numFmtId="0" fontId="17" fillId="9" borderId="142" xfId="0" applyFont="1" applyFill="1" applyBorder="1" applyAlignment="1">
      <alignment horizontal="center" vertical="top" wrapText="1"/>
    </xf>
    <xf numFmtId="0" fontId="29" fillId="9" borderId="21" xfId="0" applyFont="1" applyFill="1" applyBorder="1" applyAlignment="1">
      <alignment horizontal="center" vertical="top"/>
    </xf>
    <xf numFmtId="0" fontId="29" fillId="9" borderId="48" xfId="0" applyFont="1" applyFill="1" applyBorder="1" applyAlignment="1">
      <alignment horizontal="center" vertical="top"/>
    </xf>
    <xf numFmtId="0" fontId="29" fillId="9" borderId="22" xfId="0" applyFont="1" applyFill="1" applyBorder="1" applyAlignment="1">
      <alignment horizontal="center" vertical="top"/>
    </xf>
    <xf numFmtId="0" fontId="17" fillId="9" borderId="143" xfId="0" applyFont="1" applyFill="1" applyBorder="1" applyAlignment="1">
      <alignment horizontal="center"/>
    </xf>
    <xf numFmtId="0" fontId="17" fillId="9" borderId="0" xfId="0" applyFont="1" applyFill="1" applyAlignment="1">
      <alignment horizontal="center"/>
    </xf>
    <xf numFmtId="0" fontId="29" fillId="9" borderId="143" xfId="0" applyFont="1" applyFill="1" applyBorder="1" applyAlignment="1">
      <alignment horizontal="center"/>
    </xf>
    <xf numFmtId="0" fontId="29" fillId="9" borderId="98" xfId="0" applyFont="1" applyFill="1" applyBorder="1" applyAlignment="1">
      <alignment horizontal="center"/>
    </xf>
    <xf numFmtId="0" fontId="17" fillId="9" borderId="79" xfId="0" applyFont="1" applyFill="1" applyBorder="1" applyAlignment="1">
      <alignment horizontal="left" vertical="top" wrapText="1"/>
    </xf>
    <xf numFmtId="0" fontId="17" fillId="9" borderId="87" xfId="0" applyFont="1" applyFill="1" applyBorder="1" applyAlignment="1">
      <alignment horizontal="left" vertical="top" wrapText="1"/>
    </xf>
    <xf numFmtId="0" fontId="19" fillId="2" borderId="21" xfId="0" applyFont="1" applyFill="1" applyBorder="1" applyAlignment="1">
      <alignment horizontal="left" vertical="top" wrapText="1"/>
    </xf>
    <xf numFmtId="0" fontId="19" fillId="2" borderId="22" xfId="0" applyFont="1" applyFill="1" applyBorder="1" applyAlignment="1">
      <alignment horizontal="left" vertical="top" wrapText="1"/>
    </xf>
    <xf numFmtId="0" fontId="17" fillId="9" borderId="82" xfId="0" applyFont="1" applyFill="1" applyBorder="1" applyAlignment="1">
      <alignment horizontal="left" vertical="top" wrapText="1"/>
    </xf>
    <xf numFmtId="0" fontId="17" fillId="9" borderId="8" xfId="0" applyFont="1" applyFill="1" applyBorder="1" applyAlignment="1">
      <alignment horizontal="left" vertical="top" wrapText="1"/>
    </xf>
    <xf numFmtId="0" fontId="19" fillId="2" borderId="91" xfId="0" applyFont="1" applyFill="1" applyBorder="1" applyAlignment="1">
      <alignment horizontal="left" wrapText="1"/>
    </xf>
    <xf numFmtId="0" fontId="19" fillId="2" borderId="53" xfId="0" applyFont="1" applyFill="1" applyBorder="1" applyAlignment="1">
      <alignment horizontal="left" wrapText="1"/>
    </xf>
    <xf numFmtId="0" fontId="19" fillId="2" borderId="95" xfId="0" applyFont="1" applyFill="1" applyBorder="1" applyAlignment="1">
      <alignment horizontal="left" wrapText="1"/>
    </xf>
    <xf numFmtId="0" fontId="19" fillId="2" borderId="100" xfId="0" applyFont="1" applyFill="1" applyBorder="1" applyAlignment="1">
      <alignment horizontal="left" wrapText="1"/>
    </xf>
    <xf numFmtId="49" fontId="19" fillId="2" borderId="91" xfId="0" applyNumberFormat="1" applyFont="1" applyFill="1" applyBorder="1" applyAlignment="1">
      <alignment horizontal="left" vertical="top" wrapText="1"/>
    </xf>
    <xf numFmtId="49" fontId="19" fillId="2" borderId="53" xfId="0" applyNumberFormat="1" applyFont="1" applyFill="1" applyBorder="1" applyAlignment="1">
      <alignment horizontal="left" vertical="top" wrapText="1"/>
    </xf>
    <xf numFmtId="49" fontId="19" fillId="2" borderId="21" xfId="0" applyNumberFormat="1" applyFont="1" applyFill="1" applyBorder="1" applyAlignment="1">
      <alignment horizontal="left" vertical="top" wrapText="1"/>
    </xf>
    <xf numFmtId="49" fontId="19" fillId="2" borderId="22" xfId="0" applyNumberFormat="1" applyFont="1" applyFill="1" applyBorder="1" applyAlignment="1">
      <alignment horizontal="left" vertical="top" wrapText="1"/>
    </xf>
    <xf numFmtId="49" fontId="19" fillId="2" borderId="59" xfId="0" applyNumberFormat="1" applyFont="1" applyFill="1" applyBorder="1" applyAlignment="1">
      <alignment horizontal="left" vertical="top" wrapText="1"/>
    </xf>
    <xf numFmtId="49" fontId="19" fillId="2" borderId="58" xfId="0" applyNumberFormat="1" applyFont="1" applyFill="1" applyBorder="1" applyAlignment="1">
      <alignment horizontal="left" vertical="top" wrapText="1"/>
    </xf>
    <xf numFmtId="49" fontId="19" fillId="2" borderId="95" xfId="0" applyNumberFormat="1" applyFont="1" applyFill="1" applyBorder="1" applyAlignment="1">
      <alignment horizontal="left" vertical="top" wrapText="1"/>
    </xf>
    <xf numFmtId="49" fontId="19" fillId="2" borderId="100" xfId="0" applyNumberFormat="1" applyFont="1" applyFill="1" applyBorder="1" applyAlignment="1">
      <alignment horizontal="left" vertical="top" wrapText="1"/>
    </xf>
    <xf numFmtId="0" fontId="17" fillId="9" borderId="9" xfId="0" applyFont="1" applyFill="1" applyBorder="1" applyAlignment="1">
      <alignment horizontal="left" wrapText="1"/>
    </xf>
    <xf numFmtId="0" fontId="17" fillId="9" borderId="3" xfId="0" applyFont="1" applyFill="1" applyBorder="1" applyAlignment="1">
      <alignment horizontal="left" wrapText="1"/>
    </xf>
    <xf numFmtId="0" fontId="17" fillId="9" borderId="78" xfId="0" applyFont="1" applyFill="1" applyBorder="1" applyAlignment="1">
      <alignment horizontal="left" wrapText="1"/>
    </xf>
    <xf numFmtId="0" fontId="17" fillId="9" borderId="107" xfId="0" applyFont="1" applyFill="1" applyBorder="1" applyAlignment="1">
      <alignment horizontal="left" wrapText="1"/>
    </xf>
    <xf numFmtId="0" fontId="17" fillId="9" borderId="80" xfId="0" applyFont="1" applyFill="1" applyBorder="1" applyAlignment="1">
      <alignment horizontal="left" vertical="top" wrapText="1"/>
    </xf>
    <xf numFmtId="0" fontId="17" fillId="9" borderId="104" xfId="0" applyFont="1" applyFill="1" applyBorder="1" applyAlignment="1">
      <alignment horizontal="left" vertical="top" wrapText="1"/>
    </xf>
    <xf numFmtId="0" fontId="17" fillId="9" borderId="106" xfId="0" applyFont="1" applyFill="1" applyBorder="1" applyAlignment="1">
      <alignment horizontal="left" vertical="top" wrapText="1"/>
    </xf>
    <xf numFmtId="0" fontId="17" fillId="9" borderId="102" xfId="0" applyFont="1" applyFill="1" applyBorder="1" applyAlignment="1">
      <alignment horizontal="left" vertical="top" wrapText="1"/>
    </xf>
    <xf numFmtId="0" fontId="17" fillId="9" borderId="81" xfId="0" applyFont="1" applyFill="1" applyBorder="1" applyAlignment="1">
      <alignment horizontal="left" vertical="top" wrapText="1"/>
    </xf>
    <xf numFmtId="0" fontId="17" fillId="9" borderId="58" xfId="0" applyFont="1" applyFill="1" applyBorder="1" applyAlignment="1">
      <alignment horizontal="left" vertical="top" wrapText="1"/>
    </xf>
    <xf numFmtId="0" fontId="17" fillId="9" borderId="144" xfId="0" applyFont="1" applyFill="1" applyBorder="1" applyAlignment="1">
      <alignment horizontal="left" vertical="top" wrapText="1"/>
    </xf>
    <xf numFmtId="0" fontId="17" fillId="9" borderId="108" xfId="0" applyFont="1" applyFill="1" applyBorder="1" applyAlignment="1">
      <alignment horizontal="left" vertical="top" wrapText="1"/>
    </xf>
    <xf numFmtId="0" fontId="17" fillId="9" borderId="145" xfId="0" applyFont="1" applyFill="1" applyBorder="1" applyAlignment="1">
      <alignment horizontal="left" vertical="top" wrapText="1"/>
    </xf>
    <xf numFmtId="0" fontId="17" fillId="9" borderId="109" xfId="0" applyFont="1" applyFill="1" applyBorder="1" applyAlignment="1">
      <alignment horizontal="left" vertical="top" wrapText="1"/>
    </xf>
    <xf numFmtId="0" fontId="17" fillId="9" borderId="62" xfId="0" applyFont="1" applyFill="1" applyBorder="1" applyAlignment="1">
      <alignment horizontal="left" vertical="top" wrapText="1"/>
    </xf>
    <xf numFmtId="0" fontId="17" fillId="9" borderId="63" xfId="0" applyFont="1" applyFill="1" applyBorder="1" applyAlignment="1">
      <alignment horizontal="left" vertical="top" wrapText="1"/>
    </xf>
    <xf numFmtId="0" fontId="19" fillId="2" borderId="64" xfId="0" applyFont="1" applyFill="1" applyBorder="1" applyAlignment="1">
      <alignment horizontal="left" vertical="top" wrapText="1"/>
    </xf>
    <xf numFmtId="0" fontId="17" fillId="9" borderId="1" xfId="0" applyFont="1" applyFill="1" applyBorder="1" applyAlignment="1">
      <alignment horizontal="left" wrapText="1"/>
    </xf>
    <xf numFmtId="0" fontId="17" fillId="9" borderId="2" xfId="0" applyFont="1" applyFill="1" applyBorder="1" applyAlignment="1">
      <alignment horizontal="left" wrapText="1"/>
    </xf>
    <xf numFmtId="0" fontId="19" fillId="2" borderId="52" xfId="0" applyFont="1" applyFill="1" applyBorder="1" applyAlignment="1">
      <alignment horizontal="left" wrapText="1"/>
    </xf>
    <xf numFmtId="0" fontId="17" fillId="9" borderId="60" xfId="0" applyFont="1" applyFill="1" applyBorder="1" applyAlignment="1">
      <alignment horizontal="left" wrapText="1"/>
    </xf>
    <xf numFmtId="0" fontId="17" fillId="9" borderId="61" xfId="0" applyFont="1" applyFill="1" applyBorder="1" applyAlignment="1">
      <alignment horizontal="left" wrapText="1"/>
    </xf>
    <xf numFmtId="49" fontId="3" fillId="2" borderId="5" xfId="0" applyNumberFormat="1" applyFont="1" applyFill="1" applyBorder="1" applyAlignment="1">
      <alignment horizontal="left" vertical="top" wrapText="1"/>
    </xf>
    <xf numFmtId="49" fontId="3" fillId="2" borderId="6" xfId="0" applyNumberFormat="1" applyFont="1" applyFill="1" applyBorder="1" applyAlignment="1">
      <alignment horizontal="left" vertical="top" wrapText="1"/>
    </xf>
    <xf numFmtId="49" fontId="3" fillId="2" borderId="7" xfId="0" applyNumberFormat="1" applyFont="1" applyFill="1" applyBorder="1" applyAlignment="1">
      <alignment horizontal="left" vertical="top" wrapText="1"/>
    </xf>
    <xf numFmtId="49" fontId="3" fillId="2" borderId="8" xfId="0" applyNumberFormat="1" applyFont="1" applyFill="1" applyBorder="1" applyAlignment="1">
      <alignment horizontal="left" vertical="top" wrapText="1"/>
    </xf>
    <xf numFmtId="49" fontId="3" fillId="2" borderId="2"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64"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2" borderId="2" xfId="0" applyFont="1" applyFill="1" applyBorder="1" applyAlignment="1">
      <alignment horizontal="left" wrapText="1"/>
    </xf>
    <xf numFmtId="0" fontId="3" fillId="2" borderId="3" xfId="0" applyFont="1" applyFill="1" applyBorder="1" applyAlignment="1">
      <alignment horizontal="left" wrapText="1"/>
    </xf>
    <xf numFmtId="0" fontId="17" fillId="9" borderId="76" xfId="0" applyFont="1" applyFill="1" applyBorder="1" applyAlignment="1">
      <alignment horizontal="center"/>
    </xf>
    <xf numFmtId="0" fontId="17" fillId="9" borderId="74" xfId="0" applyFont="1" applyFill="1" applyBorder="1" applyAlignment="1">
      <alignment horizontal="center"/>
    </xf>
    <xf numFmtId="0" fontId="17" fillId="9" borderId="75" xfId="0" applyFont="1" applyFill="1" applyBorder="1" applyAlignment="1">
      <alignment horizontal="center"/>
    </xf>
    <xf numFmtId="0" fontId="17" fillId="9" borderId="73" xfId="0" applyFont="1" applyFill="1" applyBorder="1" applyAlignment="1">
      <alignment horizontal="center"/>
    </xf>
    <xf numFmtId="0" fontId="2" fillId="9" borderId="70" xfId="0" applyFont="1" applyFill="1" applyBorder="1" applyAlignment="1">
      <alignment horizontal="center" vertical="top" wrapText="1"/>
    </xf>
    <xf numFmtId="0" fontId="2" fillId="9" borderId="71" xfId="0" applyFont="1" applyFill="1" applyBorder="1" applyAlignment="1">
      <alignment horizontal="center" vertical="top" wrapText="1"/>
    </xf>
    <xf numFmtId="0" fontId="17" fillId="9" borderId="66" xfId="0" applyFont="1" applyFill="1" applyBorder="1" applyAlignment="1">
      <alignment horizontal="center" vertical="top" wrapText="1"/>
    </xf>
    <xf numFmtId="0" fontId="17" fillId="9" borderId="69" xfId="0" applyFont="1" applyFill="1" applyBorder="1" applyAlignment="1">
      <alignment horizontal="center" vertical="top" wrapText="1"/>
    </xf>
    <xf numFmtId="0" fontId="17" fillId="9" borderId="71" xfId="0" applyFont="1" applyFill="1" applyBorder="1" applyAlignment="1">
      <alignment horizontal="center" vertical="top" wrapText="1"/>
    </xf>
    <xf numFmtId="0" fontId="17" fillId="9" borderId="66" xfId="0" applyFont="1" applyFill="1" applyBorder="1" applyAlignment="1">
      <alignment horizontal="center"/>
    </xf>
    <xf numFmtId="0" fontId="29" fillId="9" borderId="66" xfId="0" applyFont="1" applyFill="1" applyBorder="1" applyAlignment="1">
      <alignment horizontal="center"/>
    </xf>
    <xf numFmtId="0" fontId="21" fillId="6" borderId="17" xfId="0" applyFont="1" applyFill="1" applyBorder="1" applyAlignment="1">
      <alignment horizontal="right" vertical="top"/>
    </xf>
    <xf numFmtId="0" fontId="21" fillId="6" borderId="20" xfId="0" applyFont="1" applyFill="1" applyBorder="1" applyAlignment="1">
      <alignment horizontal="right" vertical="top"/>
    </xf>
    <xf numFmtId="0" fontId="21" fillId="6" borderId="18" xfId="0" applyFont="1" applyFill="1" applyBorder="1" applyAlignment="1">
      <alignment horizontal="right" vertical="top"/>
    </xf>
    <xf numFmtId="0" fontId="21" fillId="6" borderId="17" xfId="0" applyFont="1" applyFill="1" applyBorder="1" applyAlignment="1">
      <alignment horizontal="right" vertical="top" wrapText="1"/>
    </xf>
    <xf numFmtId="0" fontId="21" fillId="6" borderId="20" xfId="0" applyFont="1" applyFill="1" applyBorder="1" applyAlignment="1">
      <alignment horizontal="right" vertical="top" wrapText="1"/>
    </xf>
    <xf numFmtId="0" fontId="21" fillId="6" borderId="18" xfId="0" applyFont="1" applyFill="1" applyBorder="1" applyAlignment="1">
      <alignment horizontal="right" vertical="top" wrapText="1"/>
    </xf>
    <xf numFmtId="0" fontId="19" fillId="2" borderId="43" xfId="0" applyFont="1" applyFill="1" applyBorder="1" applyAlignment="1">
      <alignment horizontal="left" vertical="top" wrapText="1"/>
    </xf>
    <xf numFmtId="0" fontId="19" fillId="2" borderId="68" xfId="0" applyFont="1" applyFill="1" applyBorder="1" applyAlignment="1">
      <alignment horizontal="left" vertical="top" wrapText="1"/>
    </xf>
    <xf numFmtId="0" fontId="17" fillId="12" borderId="150" xfId="0" applyFont="1" applyFill="1" applyBorder="1" applyAlignment="1">
      <alignment horizontal="center" vertical="top" wrapText="1"/>
    </xf>
    <xf numFmtId="0" fontId="17" fillId="12" borderId="116" xfId="0" applyFont="1" applyFill="1" applyBorder="1" applyAlignment="1">
      <alignment horizontal="center" vertical="top" wrapText="1"/>
    </xf>
    <xf numFmtId="0" fontId="19" fillId="0" borderId="126" xfId="0" applyFont="1" applyBorder="1" applyAlignment="1">
      <alignment horizontal="left" vertical="top" wrapText="1"/>
    </xf>
    <xf numFmtId="0" fontId="19" fillId="0" borderId="127" xfId="0" applyFont="1" applyBorder="1" applyAlignment="1">
      <alignment horizontal="left" vertical="top" wrapText="1"/>
    </xf>
    <xf numFmtId="0" fontId="19" fillId="0" borderId="128" xfId="0" applyFont="1" applyBorder="1" applyAlignment="1">
      <alignment horizontal="left" vertical="top" wrapText="1"/>
    </xf>
    <xf numFmtId="0" fontId="19" fillId="0" borderId="129" xfId="0" applyFont="1" applyBorder="1" applyAlignment="1">
      <alignment horizontal="left" vertical="top" wrapText="1"/>
    </xf>
    <xf numFmtId="0" fontId="30" fillId="9" borderId="0" xfId="0" applyFont="1" applyFill="1" applyAlignment="1">
      <alignment horizontal="center" vertical="top"/>
    </xf>
    <xf numFmtId="0" fontId="17" fillId="9" borderId="66" xfId="0" applyFont="1" applyFill="1" applyBorder="1" applyAlignment="1">
      <alignment horizontal="center" vertical="top"/>
    </xf>
    <xf numFmtId="0" fontId="17" fillId="9" borderId="43" xfId="0" applyFont="1" applyFill="1" applyBorder="1" applyAlignment="1">
      <alignment horizontal="center"/>
    </xf>
    <xf numFmtId="0" fontId="17" fillId="9" borderId="98" xfId="0" applyFont="1" applyFill="1" applyBorder="1" applyAlignment="1">
      <alignment horizontal="center"/>
    </xf>
    <xf numFmtId="0" fontId="17" fillId="9" borderId="68" xfId="0" applyFont="1" applyFill="1" applyBorder="1" applyAlignment="1">
      <alignment horizontal="center"/>
    </xf>
    <xf numFmtId="0" fontId="29" fillId="9" borderId="42" xfId="0" applyFont="1" applyFill="1" applyBorder="1" applyAlignment="1">
      <alignment horizontal="center"/>
    </xf>
    <xf numFmtId="0" fontId="29" fillId="9" borderId="40" xfId="0" applyFont="1" applyFill="1" applyBorder="1" applyAlignment="1">
      <alignment horizontal="center"/>
    </xf>
    <xf numFmtId="0" fontId="29" fillId="9" borderId="148" xfId="0" applyFont="1" applyFill="1" applyBorder="1" applyAlignment="1">
      <alignment horizontal="center"/>
    </xf>
    <xf numFmtId="0" fontId="17" fillId="9" borderId="41" xfId="0" applyFont="1" applyFill="1" applyBorder="1" applyAlignment="1">
      <alignment horizontal="center"/>
    </xf>
    <xf numFmtId="0" fontId="33" fillId="9" borderId="0" xfId="0" applyFont="1" applyFill="1" applyAlignment="1">
      <alignment horizontal="center"/>
    </xf>
    <xf numFmtId="0" fontId="34" fillId="9" borderId="0" xfId="0" applyFont="1" applyFill="1" applyAlignment="1">
      <alignment horizontal="center"/>
    </xf>
    <xf numFmtId="0" fontId="17" fillId="9" borderId="32" xfId="0" applyFont="1" applyFill="1" applyBorder="1" applyAlignment="1">
      <alignment horizontal="center"/>
    </xf>
    <xf numFmtId="0" fontId="17" fillId="12" borderId="31" xfId="0" applyFont="1" applyFill="1" applyBorder="1" applyAlignment="1">
      <alignment horizontal="center"/>
    </xf>
    <xf numFmtId="0" fontId="17" fillId="12" borderId="32" xfId="0" applyFont="1" applyFill="1" applyBorder="1" applyAlignment="1">
      <alignment horizontal="center"/>
    </xf>
    <xf numFmtId="0" fontId="17" fillId="9" borderId="36" xfId="0" applyFont="1" applyFill="1" applyBorder="1" applyAlignment="1">
      <alignment horizontal="center"/>
    </xf>
    <xf numFmtId="0" fontId="17" fillId="9" borderId="37" xfId="0" applyFont="1" applyFill="1" applyBorder="1" applyAlignment="1">
      <alignment horizontal="center"/>
    </xf>
    <xf numFmtId="0" fontId="17" fillId="9" borderId="38" xfId="0" applyFont="1" applyFill="1" applyBorder="1" applyAlignment="1">
      <alignment horizontal="center"/>
    </xf>
    <xf numFmtId="0" fontId="2" fillId="9" borderId="0" xfId="0" applyFont="1" applyFill="1" applyAlignment="1">
      <alignment horizontal="center" vertical="top"/>
    </xf>
    <xf numFmtId="0" fontId="2" fillId="9" borderId="140" xfId="0" applyFont="1" applyFill="1" applyBorder="1" applyAlignment="1">
      <alignment horizontal="center" vertical="top"/>
    </xf>
    <xf numFmtId="0" fontId="17" fillId="9" borderId="0" xfId="0" applyFont="1" applyFill="1" applyAlignment="1">
      <alignment horizontal="center" vertical="top"/>
    </xf>
    <xf numFmtId="1" fontId="19" fillId="10" borderId="26" xfId="3" applyNumberFormat="1" applyFont="1" applyFill="1" applyBorder="1" applyAlignment="1">
      <alignment horizontal="left" vertical="top" wrapText="1"/>
    </xf>
    <xf numFmtId="1" fontId="19" fillId="0" borderId="0" xfId="0" applyNumberFormat="1" applyFont="1" applyAlignment="1">
      <alignment horizontal="left" vertical="top" wrapText="1"/>
    </xf>
    <xf numFmtId="1" fontId="23" fillId="0" borderId="0" xfId="0" applyNumberFormat="1" applyFont="1" applyAlignment="1">
      <alignment horizontal="left" vertical="top" wrapText="1"/>
    </xf>
    <xf numFmtId="1" fontId="19" fillId="2" borderId="0" xfId="0" applyNumberFormat="1" applyFont="1" applyFill="1" applyAlignment="1">
      <alignment horizontal="right" vertical="top" wrapText="1"/>
    </xf>
    <xf numFmtId="0" fontId="11" fillId="2" borderId="0" xfId="0" applyFont="1" applyFill="1" applyAlignment="1">
      <alignment horizontal="left" vertical="top"/>
    </xf>
    <xf numFmtId="0" fontId="19" fillId="5" borderId="0" xfId="0" applyFont="1" applyFill="1" applyBorder="1" applyAlignment="1">
      <alignment horizontal="left" vertical="top"/>
    </xf>
    <xf numFmtId="49" fontId="19" fillId="5" borderId="0" xfId="0" applyNumberFormat="1" applyFont="1" applyFill="1" applyBorder="1" applyAlignment="1">
      <alignment horizontal="left" vertical="top"/>
    </xf>
    <xf numFmtId="0" fontId="19" fillId="5" borderId="0" xfId="0" applyFont="1" applyFill="1" applyBorder="1" applyAlignment="1">
      <alignment horizontal="left" vertical="top" wrapText="1"/>
    </xf>
    <xf numFmtId="0" fontId="19" fillId="5" borderId="0" xfId="0" applyFont="1" applyFill="1" applyBorder="1" applyAlignment="1">
      <alignment horizontal="center" vertical="top"/>
    </xf>
    <xf numFmtId="0" fontId="19" fillId="18" borderId="0" xfId="0" applyFont="1" applyFill="1" applyBorder="1" applyAlignment="1">
      <alignment horizontal="left" vertical="top"/>
    </xf>
    <xf numFmtId="49" fontId="19" fillId="18" borderId="0" xfId="0" applyNumberFormat="1" applyFont="1" applyFill="1" applyBorder="1" applyAlignment="1">
      <alignment horizontal="left" vertical="top" wrapText="1"/>
    </xf>
    <xf numFmtId="0" fontId="19" fillId="18" borderId="0" xfId="0" applyFont="1" applyFill="1" applyBorder="1" applyAlignment="1">
      <alignment horizontal="left" vertical="top" wrapText="1"/>
    </xf>
    <xf numFmtId="0" fontId="19" fillId="18" borderId="0" xfId="0" applyFont="1" applyFill="1" applyBorder="1" applyAlignment="1">
      <alignment horizontal="center" vertical="top"/>
    </xf>
    <xf numFmtId="0" fontId="19" fillId="19" borderId="0" xfId="0" applyFont="1" applyFill="1" applyBorder="1" applyAlignment="1">
      <alignment horizontal="left" vertical="top"/>
    </xf>
    <xf numFmtId="49" fontId="19" fillId="19" borderId="0" xfId="0" applyNumberFormat="1" applyFont="1" applyFill="1" applyBorder="1" applyAlignment="1">
      <alignment horizontal="left" vertical="top" wrapText="1"/>
    </xf>
    <xf numFmtId="0" fontId="19" fillId="19" borderId="0" xfId="0" applyFont="1" applyFill="1" applyBorder="1" applyAlignment="1">
      <alignment horizontal="left" vertical="top" wrapText="1"/>
    </xf>
    <xf numFmtId="0" fontId="19" fillId="19" borderId="0" xfId="0" applyFont="1" applyFill="1" applyBorder="1" applyAlignment="1">
      <alignment horizontal="center" vertical="top"/>
    </xf>
    <xf numFmtId="0" fontId="19" fillId="4" borderId="0" xfId="0" applyFont="1" applyFill="1" applyBorder="1" applyAlignment="1">
      <alignment horizontal="left" vertical="top"/>
    </xf>
    <xf numFmtId="49" fontId="19" fillId="4" borderId="0" xfId="0" applyNumberFormat="1" applyFont="1" applyFill="1" applyBorder="1" applyAlignment="1">
      <alignment horizontal="left" vertical="top" wrapText="1"/>
    </xf>
    <xf numFmtId="0" fontId="19" fillId="4" borderId="0" xfId="0" applyFont="1" applyFill="1" applyBorder="1" applyAlignment="1">
      <alignment horizontal="left" vertical="top" wrapText="1"/>
    </xf>
    <xf numFmtId="0" fontId="19" fillId="4" borderId="0" xfId="0" applyFont="1" applyFill="1" applyBorder="1" applyAlignment="1">
      <alignment horizontal="center" vertical="top"/>
    </xf>
    <xf numFmtId="0" fontId="19" fillId="0" borderId="0" xfId="0" applyFont="1" applyBorder="1" applyAlignment="1">
      <alignment horizontal="left" vertical="top"/>
    </xf>
    <xf numFmtId="49" fontId="19" fillId="2" borderId="0" xfId="0" applyNumberFormat="1" applyFont="1" applyFill="1" applyBorder="1" applyAlignment="1">
      <alignment horizontal="left" vertical="top" wrapText="1"/>
    </xf>
    <xf numFmtId="0" fontId="19" fillId="0" borderId="0" xfId="0" applyFont="1" applyBorder="1" applyAlignment="1">
      <alignment horizontal="left" vertical="top" wrapText="1"/>
    </xf>
    <xf numFmtId="0" fontId="19" fillId="0" borderId="0" xfId="0" applyFont="1" applyBorder="1" applyAlignment="1">
      <alignment horizontal="center" vertical="top"/>
    </xf>
    <xf numFmtId="49" fontId="19" fillId="0" borderId="0" xfId="0" applyNumberFormat="1" applyFont="1" applyBorder="1" applyAlignment="1">
      <alignment horizontal="left" vertical="top"/>
    </xf>
    <xf numFmtId="0" fontId="25" fillId="0" borderId="0" xfId="0" applyFont="1" applyFill="1" applyAlignment="1">
      <alignment horizontal="left" vertical="top" wrapText="1"/>
    </xf>
    <xf numFmtId="167" fontId="12" fillId="0" borderId="0" xfId="0" applyNumberFormat="1" applyFont="1" applyAlignment="1">
      <alignment vertical="top" wrapText="1"/>
    </xf>
    <xf numFmtId="3" fontId="35" fillId="0" borderId="0" xfId="0" applyNumberFormat="1" applyFont="1"/>
    <xf numFmtId="0" fontId="19" fillId="2" borderId="0" xfId="0" applyFont="1" applyFill="1" applyBorder="1" applyAlignment="1">
      <alignment vertical="top" wrapText="1"/>
    </xf>
    <xf numFmtId="164" fontId="19" fillId="0" borderId="0" xfId="0" applyNumberFormat="1" applyFont="1" applyBorder="1" applyAlignment="1">
      <alignment horizontal="left" vertical="top" wrapText="1"/>
    </xf>
    <xf numFmtId="0" fontId="19" fillId="2" borderId="0" xfId="0" applyFont="1" applyFill="1" applyBorder="1" applyAlignment="1">
      <alignment horizontal="left" vertical="top" wrapText="1"/>
    </xf>
    <xf numFmtId="164" fontId="19" fillId="2" borderId="0" xfId="0" applyNumberFormat="1" applyFont="1" applyFill="1" applyBorder="1" applyAlignment="1">
      <alignment horizontal="left" vertical="top" wrapText="1"/>
    </xf>
    <xf numFmtId="167" fontId="11" fillId="0" borderId="68" xfId="0" applyNumberFormat="1" applyFont="1" applyBorder="1" applyAlignment="1">
      <alignment horizontal="left" vertical="top" wrapText="1"/>
    </xf>
    <xf numFmtId="164" fontId="19" fillId="0" borderId="41" xfId="0" applyNumberFormat="1" applyFont="1" applyBorder="1" applyAlignment="1">
      <alignment horizontal="left" vertical="top" wrapText="1"/>
    </xf>
    <xf numFmtId="164" fontId="19" fillId="2" borderId="41" xfId="0" applyNumberFormat="1" applyFont="1" applyFill="1" applyBorder="1" applyAlignment="1">
      <alignment horizontal="left" vertical="top" wrapText="1"/>
    </xf>
    <xf numFmtId="164" fontId="19" fillId="0" borderId="41" xfId="0" applyNumberFormat="1" applyFont="1" applyBorder="1" applyAlignment="1">
      <alignment horizontal="left" vertical="top"/>
    </xf>
    <xf numFmtId="164" fontId="11" fillId="0" borderId="41" xfId="0" applyNumberFormat="1" applyFont="1" applyBorder="1" applyAlignment="1">
      <alignment horizontal="left" vertical="top" wrapText="1"/>
    </xf>
    <xf numFmtId="0" fontId="19" fillId="0" borderId="21" xfId="0" applyFont="1" applyBorder="1" applyAlignment="1">
      <alignment horizontal="left" vertical="top" wrapText="1"/>
    </xf>
    <xf numFmtId="0" fontId="19" fillId="0" borderId="48" xfId="0" applyFont="1" applyBorder="1" applyAlignment="1">
      <alignment horizontal="left" vertical="top" wrapText="1"/>
    </xf>
    <xf numFmtId="0" fontId="19" fillId="0" borderId="153" xfId="0" applyFont="1" applyBorder="1" applyAlignment="1">
      <alignment horizontal="left" vertical="top" wrapText="1"/>
    </xf>
    <xf numFmtId="0" fontId="19" fillId="0" borderId="154" xfId="0" applyFont="1" applyBorder="1" applyAlignment="1">
      <alignment horizontal="left" vertical="top" wrapText="1"/>
    </xf>
    <xf numFmtId="0" fontId="29" fillId="9" borderId="155" xfId="0" applyFont="1" applyFill="1" applyBorder="1" applyAlignment="1">
      <alignment horizontal="center" vertical="top"/>
    </xf>
    <xf numFmtId="0" fontId="29" fillId="9" borderId="156" xfId="0" applyFont="1" applyFill="1" applyBorder="1" applyAlignment="1">
      <alignment horizontal="center" vertical="top"/>
    </xf>
    <xf numFmtId="0" fontId="29" fillId="2" borderId="143" xfId="0" applyFont="1" applyFill="1" applyBorder="1" applyAlignment="1">
      <alignment vertical="top"/>
    </xf>
    <xf numFmtId="164" fontId="17" fillId="2" borderId="143" xfId="0" applyNumberFormat="1" applyFont="1" applyFill="1" applyBorder="1" applyAlignment="1">
      <alignment horizontal="center" vertical="top"/>
    </xf>
    <xf numFmtId="0" fontId="19" fillId="2" borderId="143" xfId="0" applyFont="1" applyFill="1" applyBorder="1" applyAlignment="1">
      <alignment vertical="top" wrapText="1"/>
    </xf>
  </cellXfs>
  <cellStyles count="4">
    <cellStyle name="Comma" xfId="3" builtinId="3"/>
    <cellStyle name="Currency" xfId="1" builtinId="4"/>
    <cellStyle name="Hyperlink" xfId="2" builtinId="8"/>
    <cellStyle name="Normal" xfId="0" builtinId="0"/>
  </cellStyles>
  <dxfs count="621">
    <dxf>
      <font>
        <color rgb="FF006100"/>
      </font>
      <fill>
        <patternFill>
          <bgColor rgb="FFC6EFCE"/>
        </patternFill>
      </fill>
    </dxf>
    <dxf>
      <font>
        <color rgb="FF9C5700"/>
      </font>
      <fill>
        <patternFill>
          <bgColor rgb="FFFFEB9C"/>
        </patternFill>
      </fill>
    </dxf>
    <dxf>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font>
      <fill>
        <patternFill>
          <bgColor theme="1" tint="4.9989318521683403E-2"/>
        </patternFill>
      </fill>
    </dxf>
    <dxf>
      <font>
        <color theme="0"/>
      </font>
      <fill>
        <patternFill>
          <bgColor theme="1" tint="4.9989318521683403E-2"/>
        </patternFill>
      </fill>
    </dxf>
    <dxf>
      <font>
        <color theme="0"/>
      </font>
      <fill>
        <patternFill>
          <bgColor theme="1" tint="4.9989318521683403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1"/>
        <color rgb="FF000000"/>
        <name val="EB Garamond"/>
        <scheme val="none"/>
      </font>
      <numFmt numFmtId="167" formatCode="_(&quot;$&quot;* #,##0_);_(&quot;$&quot;* \(#,##0\);_(&quot;$&quot;* &quot;-&quot;??_);_(@_)"/>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numFmt numFmtId="164" formatCode="[$-409]d\-mmm\-yyyy;@"/>
      <fill>
        <patternFill patternType="none">
          <fgColor indexed="64"/>
          <bgColor auto="1"/>
        </patternFill>
      </fill>
      <alignment horizontal="left" vertical="top" textRotation="0" wrapText="1" indent="0" justifyLastLine="0" shrinkToFit="0" readingOrder="0"/>
      <border diagonalUp="0" diagonalDown="0">
        <right style="thin">
          <color auto="1"/>
        </right>
        <top/>
        <bottom/>
        <vertical/>
        <horizontal/>
      </border>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vertical="top" textRotation="0" indent="0" justifyLastLine="0" shrinkToFit="0" readingOrder="0"/>
    </dxf>
    <dxf>
      <font>
        <b val="0"/>
        <i val="0"/>
        <strike val="0"/>
        <condense val="0"/>
        <extend val="0"/>
        <outline val="0"/>
        <shadow val="0"/>
        <u val="none"/>
        <vertAlign val="baseline"/>
        <sz val="11"/>
        <color theme="1"/>
        <name val="EB Garamond"/>
        <scheme val="none"/>
      </font>
      <numFmt numFmtId="164" formatCode="[$-409]d\-mmm\-yyyy;@"/>
      <fill>
        <patternFill patternType="none">
          <fgColor indexed="64"/>
          <bgColor auto="1"/>
        </patternFill>
      </fill>
      <alignment horizontal="left" vertical="top" textRotation="0" wrapText="1" indent="0" justifyLastLine="0" shrinkToFit="0" readingOrder="0"/>
      <border diagonalUp="0" diagonalDown="0">
        <right style="thin">
          <color auto="1"/>
        </right>
        <top/>
        <bottom/>
        <vertical/>
        <horizontal/>
      </border>
    </dxf>
    <dxf>
      <font>
        <b val="0"/>
        <i val="0"/>
        <strike val="0"/>
        <condense val="0"/>
        <extend val="0"/>
        <outline val="0"/>
        <shadow val="0"/>
        <u val="none"/>
        <vertAlign val="baseline"/>
        <sz val="11"/>
        <color theme="1"/>
        <name val="EB Garamond"/>
        <scheme val="none"/>
      </font>
      <numFmt numFmtId="164" formatCode="[$-409]d\-mmm\-yyyy;@"/>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numFmt numFmtId="0" formatCode="General"/>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numFmt numFmtId="34" formatCode="_(&quot;$&quot;* #,##0.00_);_(&quot;$&quot;* \(#,##0.00\);_(&quot;$&quot;* &quot;-&quot;??_);_(@_)"/>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numFmt numFmtId="165" formatCode="dd\-mmm\-yy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numFmt numFmtId="165" formatCode="dd\-mmm\-yyyy"/>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numFmt numFmtId="165" formatCode="dd\-mmm\-yy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numFmt numFmtId="165" formatCode="dd\-mmm\-yyyy"/>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numFmt numFmtId="165" formatCode="dd\-mmm\-yyyy"/>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numFmt numFmtId="165" formatCode="dd\-mmm\-yyyy"/>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EB Garamond"/>
        <scheme val="none"/>
      </font>
      <numFmt numFmtId="30" formatCode="@"/>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1" formatCode="0"/>
      <fill>
        <patternFill patternType="solid">
          <fgColor indexed="64"/>
          <bgColor theme="0"/>
        </patternFill>
      </fill>
      <alignment horizontal="righ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1" formatCode="0"/>
      <fill>
        <patternFill patternType="solid">
          <fgColor indexed="64"/>
          <bgColor theme="0"/>
        </patternFill>
      </fill>
      <alignment horizontal="righ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1" formatCode="0"/>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1" formatCode="0"/>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EB Garamond"/>
        <scheme val="none"/>
      </font>
      <fill>
        <patternFill patternType="none">
          <fgColor indexed="64"/>
          <bgColor auto="1"/>
        </patternFill>
      </fill>
    </dxf>
    <dxf>
      <font>
        <b val="0"/>
        <i val="0"/>
        <strike val="0"/>
        <condense val="0"/>
        <extend val="0"/>
        <outline val="0"/>
        <shadow val="0"/>
        <u val="none"/>
        <vertAlign val="baseline"/>
        <sz val="11"/>
        <color auto="1"/>
        <name val="EB Garamond"/>
        <scheme val="none"/>
      </font>
      <fill>
        <patternFill patternType="none">
          <fgColor indexed="64"/>
          <bgColor auto="1"/>
        </patternFill>
      </fill>
    </dxf>
    <dxf>
      <font>
        <b val="0"/>
        <i val="0"/>
        <strike val="0"/>
        <condense val="0"/>
        <extend val="0"/>
        <outline val="0"/>
        <shadow val="0"/>
        <u val="none"/>
        <vertAlign val="baseline"/>
        <sz val="11"/>
        <color auto="1"/>
        <name val="EB Garamond"/>
        <scheme val="none"/>
      </font>
      <fill>
        <patternFill patternType="none">
          <fgColor indexed="64"/>
          <bgColor auto="1"/>
        </patternFill>
      </fill>
    </dxf>
    <dxf>
      <font>
        <b val="0"/>
        <i val="0"/>
        <strike val="0"/>
        <condense val="0"/>
        <extend val="0"/>
        <outline val="0"/>
        <shadow val="0"/>
        <u val="none"/>
        <vertAlign val="baseline"/>
        <sz val="11"/>
        <color auto="1"/>
        <name val="EB Garamond"/>
        <scheme val="none"/>
      </font>
      <fill>
        <patternFill patternType="solid">
          <fgColor indexed="64"/>
          <bgColor theme="9"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border diagonalUp="0" diagonalDown="0" outline="0">
        <left style="thin">
          <color theme="6"/>
        </left>
        <right/>
        <top style="thin">
          <color theme="6"/>
        </top>
        <bottom style="thin">
          <color theme="6"/>
        </bottom>
      </border>
    </dxf>
    <dxf>
      <font>
        <b val="0"/>
        <i val="0"/>
        <strike val="0"/>
        <condense val="0"/>
        <extend val="0"/>
        <outline val="0"/>
        <shadow val="0"/>
        <u val="none"/>
        <vertAlign val="baseline"/>
        <sz val="11"/>
        <color theme="1" tint="4.9989318521683403E-2"/>
        <name val="EB Garamond"/>
        <scheme val="none"/>
      </font>
      <border diagonalUp="0" diagonalDown="0" outline="0">
        <left style="thin">
          <color theme="6"/>
        </left>
        <right style="thin">
          <color theme="6"/>
        </right>
        <top style="thin">
          <color theme="6"/>
        </top>
        <bottom style="thin">
          <color theme="6"/>
        </bottom>
      </border>
    </dxf>
    <dxf>
      <font>
        <b val="0"/>
        <i val="0"/>
        <strike val="0"/>
        <condense val="0"/>
        <extend val="0"/>
        <outline val="0"/>
        <shadow val="0"/>
        <u val="none"/>
        <vertAlign val="baseline"/>
        <sz val="11"/>
        <color theme="1" tint="4.9989318521683403E-2"/>
        <name val="EB Garamond"/>
        <scheme val="none"/>
      </font>
      <border diagonalUp="0" diagonalDown="0" outline="0">
        <left style="thin">
          <color theme="6"/>
        </left>
        <right style="thin">
          <color theme="6"/>
        </right>
        <top style="thin">
          <color theme="6"/>
        </top>
        <bottom style="thin">
          <color theme="6"/>
        </bottom>
      </border>
    </dxf>
    <dxf>
      <font>
        <b val="0"/>
        <i val="0"/>
        <strike val="0"/>
        <condense val="0"/>
        <extend val="0"/>
        <outline val="0"/>
        <shadow val="0"/>
        <u val="none"/>
        <vertAlign val="baseline"/>
        <sz val="11"/>
        <color theme="1" tint="4.9989318521683403E-2"/>
        <name val="EB Garamond"/>
        <scheme val="none"/>
      </font>
      <border diagonalUp="0" diagonalDown="0" outline="0">
        <left style="thin">
          <color theme="6"/>
        </left>
        <right style="thin">
          <color theme="6"/>
        </right>
        <top style="thin">
          <color theme="6"/>
        </top>
        <bottom style="thin">
          <color theme="6"/>
        </bottom>
      </border>
    </dxf>
    <dxf>
      <font>
        <b val="0"/>
        <i val="0"/>
        <strike val="0"/>
        <condense val="0"/>
        <extend val="0"/>
        <outline val="0"/>
        <shadow val="0"/>
        <u val="none"/>
        <vertAlign val="baseline"/>
        <sz val="11"/>
        <color theme="1" tint="4.9989318521683403E-2"/>
        <name val="EB Garamond"/>
        <scheme val="none"/>
      </font>
      <border diagonalUp="0" diagonalDown="0" outline="0">
        <left style="thin">
          <color theme="6"/>
        </left>
        <right style="thin">
          <color theme="6"/>
        </right>
        <top style="thin">
          <color theme="6"/>
        </top>
        <bottom style="thin">
          <color theme="6"/>
        </bottom>
      </border>
    </dxf>
    <dxf>
      <font>
        <b/>
        <i val="0"/>
        <strike val="0"/>
        <condense val="0"/>
        <extend val="0"/>
        <outline val="0"/>
        <shadow val="0"/>
        <u val="none"/>
        <vertAlign val="baseline"/>
        <sz val="11"/>
        <color theme="1" tint="4.9989318521683403E-2"/>
        <name val="EB Garamond"/>
        <scheme val="none"/>
      </font>
      <fill>
        <patternFill patternType="solid">
          <fgColor theme="6"/>
          <bgColor theme="9" tint="0.79998168889431442"/>
        </patternFill>
      </fill>
      <border diagonalUp="0" diagonalDown="0" outline="0">
        <left/>
        <right style="thin">
          <color theme="6"/>
        </right>
        <top style="thin">
          <color theme="6"/>
        </top>
        <bottom style="thin">
          <color theme="6"/>
        </bottom>
      </border>
    </dxf>
    <dxf>
      <border outline="0">
        <top style="thin">
          <color theme="6"/>
        </top>
      </border>
    </dxf>
    <dxf>
      <border outline="0">
        <left style="thin">
          <color theme="6"/>
        </left>
        <right style="thin">
          <color theme="6"/>
        </right>
        <top style="thin">
          <color theme="6"/>
        </top>
        <bottom style="thin">
          <color theme="6"/>
        </bottom>
      </border>
    </dxf>
    <dxf>
      <font>
        <b val="0"/>
        <i val="0"/>
        <strike val="0"/>
        <condense val="0"/>
        <extend val="0"/>
        <outline val="0"/>
        <shadow val="0"/>
        <u val="none"/>
        <vertAlign val="baseline"/>
        <sz val="11"/>
        <color theme="1" tint="4.9989318521683403E-2"/>
        <name val="EB Garamond"/>
        <scheme val="none"/>
      </font>
    </dxf>
    <dxf>
      <border outline="0">
        <bottom style="thin">
          <color theme="6"/>
        </bottom>
      </border>
    </dxf>
    <dxf>
      <font>
        <b/>
        <i val="0"/>
        <strike val="0"/>
        <condense val="0"/>
        <extend val="0"/>
        <outline val="0"/>
        <shadow val="0"/>
        <u val="none"/>
        <vertAlign val="baseline"/>
        <sz val="11"/>
        <color theme="1" tint="4.9989318521683403E-2"/>
        <name val="EB Garamond"/>
        <scheme val="none"/>
      </font>
      <fill>
        <patternFill patternType="solid">
          <fgColor theme="6"/>
          <bgColor theme="6"/>
        </patternFill>
      </fill>
      <alignment horizontal="center" vertical="bottom" textRotation="0" wrapText="0" indent="0" justifyLastLine="0" shrinkToFit="0" readingOrder="0"/>
      <border diagonalUp="0" diagonalDown="0" outline="0">
        <left style="thin">
          <color theme="6"/>
        </left>
        <right style="thin">
          <color theme="6"/>
        </right>
        <top/>
        <bottom/>
      </border>
    </dxf>
    <dxf>
      <font>
        <b val="0"/>
        <i val="0"/>
        <strike val="0"/>
        <condense val="0"/>
        <extend val="0"/>
        <outline val="0"/>
        <shadow val="0"/>
        <u val="none"/>
        <vertAlign val="baseline"/>
        <sz val="11"/>
        <color theme="1" tint="4.9989318521683403E-2"/>
        <name val="EB Garamond"/>
        <scheme val="none"/>
      </font>
      <border diagonalUp="0" diagonalDown="0">
        <left style="thin">
          <color theme="6"/>
        </left>
        <right/>
        <top style="thin">
          <color theme="6"/>
        </top>
        <bottom/>
        <vertical/>
        <horizontal/>
      </border>
    </dxf>
    <dxf>
      <font>
        <b val="0"/>
        <i val="0"/>
        <strike val="0"/>
        <condense val="0"/>
        <extend val="0"/>
        <outline val="0"/>
        <shadow val="0"/>
        <u val="none"/>
        <vertAlign val="baseline"/>
        <sz val="11"/>
        <color theme="1" tint="4.9989318521683403E-2"/>
        <name val="EB Garamond"/>
        <scheme val="none"/>
      </font>
      <border diagonalUp="0" diagonalDown="0">
        <left/>
        <right/>
        <top style="thin">
          <color theme="6"/>
        </top>
        <bottom/>
        <vertical/>
        <horizontal/>
      </border>
    </dxf>
    <dxf>
      <border outline="0">
        <left style="thin">
          <color theme="6"/>
        </left>
        <top style="thin">
          <color theme="6"/>
        </top>
        <bottom style="thin">
          <color theme="6"/>
        </bottom>
      </border>
    </dxf>
    <dxf>
      <font>
        <b/>
        <i val="0"/>
        <strike val="0"/>
        <condense val="0"/>
        <extend val="0"/>
        <outline val="0"/>
        <shadow val="0"/>
        <u val="none"/>
        <vertAlign val="baseline"/>
        <sz val="11"/>
        <color theme="1" tint="4.9989318521683403E-2"/>
        <name val="EB Garamond"/>
        <scheme val="none"/>
      </font>
      <fill>
        <patternFill patternType="solid">
          <fgColor theme="6"/>
          <bgColor theme="9" tint="0.79998168889431442"/>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theme="9" tint="0.79998168889431442"/>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theme="9" tint="0.79998168889431442"/>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border diagonalUp="0" diagonalDown="0" outline="0">
        <left style="hair">
          <color auto="1"/>
        </left>
        <right style="hair">
          <color auto="1"/>
        </right>
        <top/>
        <bottom/>
      </border>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bgColor theme="9" tint="0.79998168889431442"/>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border diagonalUp="0" diagonalDown="0" outline="0">
        <left style="hair">
          <color auto="1"/>
        </left>
        <right style="hair">
          <color auto="1"/>
        </right>
        <top/>
        <bottom/>
      </border>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theme="9" tint="0.79998168889431442"/>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border diagonalUp="0" diagonalDown="0" outline="0">
        <left/>
        <right style="thin">
          <color theme="6"/>
        </right>
        <top style="thin">
          <color theme="6"/>
        </top>
        <bottom/>
      </border>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theme="9" tint="0.79998168889431442"/>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dxf>
    <dxf>
      <font>
        <b val="0"/>
        <i val="0"/>
        <strike val="0"/>
        <condense val="0"/>
        <extend val="0"/>
        <outline val="0"/>
        <shadow val="0"/>
        <u val="none"/>
        <vertAlign val="baseline"/>
        <sz val="11"/>
        <color theme="1" tint="4.9989318521683403E-2"/>
        <name val="EB Garamond"/>
        <scheme val="none"/>
      </font>
      <fill>
        <patternFill patternType="solid">
          <fgColor indexed="64"/>
          <bgColor theme="9" tint="0.79998168889431442"/>
        </patternFill>
      </fill>
    </dxf>
    <dxf>
      <font>
        <strike val="0"/>
        <outline val="0"/>
        <shadow val="0"/>
        <u val="none"/>
        <vertAlign val="baseline"/>
        <sz val="11"/>
        <color theme="1" tint="4.9989318521683403E-2"/>
        <name val="EB Garamond"/>
        <scheme val="none"/>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color theme="1" tint="4.9989318521683403E-2"/>
        <name val="EB Garamond"/>
        <scheme val="none"/>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color theme="1" tint="4.9989318521683403E-2"/>
        <name val="EB Garamond"/>
        <scheme val="none"/>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color theme="1" tint="4.9989318521683403E-2"/>
        <name val="EB Garamond"/>
        <scheme val="none"/>
      </font>
      <fill>
        <patternFill patternType="solid">
          <fgColor indexed="64"/>
          <bgColor theme="9" tint="0.79998168889431442"/>
        </patternFill>
      </fill>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0"/>
        </patternFill>
      </fill>
    </dxf>
    <dxf>
      <font>
        <b val="0"/>
        <i val="0"/>
        <strike val="0"/>
        <condense val="0"/>
        <extend val="0"/>
        <outline val="0"/>
        <shadow val="0"/>
        <u val="none"/>
        <vertAlign val="baseline"/>
        <sz val="11"/>
        <color theme="1" tint="4.9989318521683403E-2"/>
        <name val="EB Garamond"/>
        <scheme val="none"/>
      </font>
      <fill>
        <patternFill patternType="solid">
          <fgColor indexed="64"/>
          <bgColor theme="0"/>
        </patternFill>
      </fill>
    </dxf>
    <dxf>
      <font>
        <b val="0"/>
        <i val="0"/>
        <strike val="0"/>
        <condense val="0"/>
        <extend val="0"/>
        <outline val="0"/>
        <shadow val="0"/>
        <u val="none"/>
        <vertAlign val="baseline"/>
        <sz val="11"/>
        <color theme="1" tint="4.9989318521683403E-2"/>
        <name val="EB Garamond"/>
        <scheme val="none"/>
      </font>
      <fill>
        <patternFill patternType="solid">
          <fgColor indexed="64"/>
          <bgColor theme="0"/>
        </patternFill>
      </fill>
    </dxf>
    <dxf>
      <font>
        <b val="0"/>
        <i val="0"/>
        <strike val="0"/>
        <condense val="0"/>
        <extend val="0"/>
        <outline val="0"/>
        <shadow val="0"/>
        <u val="none"/>
        <vertAlign val="baseline"/>
        <sz val="11"/>
        <color theme="1" tint="4.9989318521683403E-2"/>
        <name val="EB Garamond"/>
        <scheme val="none"/>
      </font>
      <fill>
        <patternFill patternType="solid">
          <fgColor indexed="64"/>
          <bgColor theme="0"/>
        </patternFill>
      </fill>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theme="9" tint="0.79998168889431442"/>
        </patternFill>
      </fill>
      <alignment horizontal="general" vertical="top" textRotation="0" wrapText="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theme="9" tint="0.79998168889431442"/>
        </patternFill>
      </fill>
      <alignment horizontal="center" vertical="top" textRotation="0" wrapText="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alignment horizontal="general" vertical="top" textRotation="0" wrapText="0" indent="0" justifyLastLine="0" shrinkToFit="0" readingOrder="0"/>
    </dxf>
    <dxf>
      <border outline="0">
        <top style="thin">
          <color theme="6"/>
        </top>
      </border>
    </dxf>
    <dxf>
      <font>
        <b val="0"/>
        <i val="0"/>
        <strike val="0"/>
        <condense val="0"/>
        <extend val="0"/>
        <outline val="0"/>
        <shadow val="0"/>
        <u val="none"/>
        <vertAlign val="baseline"/>
        <sz val="11"/>
        <color theme="1" tint="4.9989318521683403E-2"/>
        <name val="Times New Roman"/>
        <family val="1"/>
        <scheme val="none"/>
      </font>
      <alignment horizontal="general" vertical="top" textRotation="0" wrapText="0" indent="0" justifyLastLine="0" shrinkToFit="0" readingOrder="0"/>
    </dxf>
    <dxf>
      <font>
        <b/>
        <i val="0"/>
        <strike val="0"/>
        <condense val="0"/>
        <extend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wrapText="0" indent="0" justifyLastLine="0" shrinkToFit="0" readingOrder="0"/>
    </dxf>
    <dxf>
      <font>
        <b/>
        <i val="0"/>
        <strike val="0"/>
        <condense val="0"/>
        <extend val="0"/>
        <outline val="0"/>
        <shadow val="0"/>
        <u val="none"/>
        <vertAlign val="baseline"/>
        <sz val="11"/>
        <color theme="1" tint="4.9989318521683403E-2"/>
        <name val="Times New Roman"/>
        <family val="1"/>
        <scheme val="none"/>
      </font>
      <fill>
        <patternFill patternType="solid">
          <fgColor theme="6"/>
          <bgColor theme="9" tint="0.79998168889431442"/>
        </patternFill>
      </fill>
      <alignment horizontal="center" vertical="bottom" textRotation="0" wrapText="0" indent="0" justifyLastLine="0" shrinkToFit="0" readingOrder="0"/>
    </dxf>
    <dxf>
      <font>
        <strike val="0"/>
        <outline val="0"/>
        <shadow val="0"/>
        <u val="none"/>
        <vertAlign val="baseline"/>
        <sz val="11"/>
        <name val="Times New Roman"/>
        <family val="1"/>
        <scheme val="none"/>
      </font>
      <fill>
        <patternFill patternType="none">
          <fgColor rgb="FF000000"/>
          <bgColor rgb="FFFFFFFF"/>
        </patternFill>
      </fill>
      <alignment vertical="top" textRotation="0" wrapText="0" indent="0" justifyLastLine="0" shrinkToFit="0" readingOrder="0"/>
    </dxf>
    <dxf>
      <font>
        <strike val="0"/>
        <outline val="0"/>
        <shadow val="0"/>
        <u val="none"/>
        <vertAlign val="baseline"/>
        <sz val="11"/>
        <name val="Times New Roman"/>
        <family val="1"/>
        <scheme val="none"/>
      </font>
      <fill>
        <patternFill patternType="none">
          <fgColor indexed="64"/>
          <bgColor theme="0"/>
        </patternFill>
      </fill>
      <alignment vertical="top" textRotation="0" wrapText="0" indent="0" justifyLastLine="0" shrinkToFit="0" readingOrder="0"/>
    </dxf>
    <dxf>
      <font>
        <strike val="0"/>
        <outline val="0"/>
        <shadow val="0"/>
        <u val="none"/>
        <vertAlign val="baseline"/>
        <sz val="11"/>
        <name val="Times New Roman"/>
        <family val="1"/>
        <scheme val="none"/>
      </font>
      <fill>
        <patternFill patternType="none">
          <fgColor rgb="FF000000"/>
          <bgColor rgb="FFFFFFFF"/>
        </patternFill>
      </fill>
      <alignment vertical="top" textRotation="0" wrapText="0" indent="0" justifyLastLine="0" shrinkToFit="0" readingOrder="0"/>
    </dxf>
    <dxf>
      <font>
        <b/>
        <i val="0"/>
        <strike val="0"/>
        <condense val="0"/>
        <extend val="0"/>
        <outline val="0"/>
        <shadow val="0"/>
        <u val="none"/>
        <vertAlign val="baseline"/>
        <sz val="11"/>
        <color auto="1"/>
        <name val="Times New Roman"/>
        <family val="1"/>
        <scheme val="none"/>
      </font>
      <fill>
        <patternFill patternType="solid">
          <fgColor theme="6"/>
          <bgColor theme="9" tint="0.79998168889431442"/>
        </patternFill>
      </fill>
      <alignment horizontal="general" vertical="top" textRotation="0" wrapText="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theme="0" tint="-0.24994659260841701"/>
        </left>
        <right/>
        <top style="thin">
          <color theme="0" tint="-0.24994659260841701"/>
        </top>
        <bottom style="thin">
          <color theme="0" tint="-0.24994659260841701"/>
        </bottom>
      </border>
    </dxf>
    <dxf>
      <font>
        <strike val="0"/>
        <outline val="0"/>
        <shadow val="0"/>
        <u val="none"/>
        <vertAlign val="baseline"/>
        <sz val="11"/>
        <color theme="1" tint="4.9989318521683403E-2"/>
        <name val="Times New Roman"/>
        <family val="1"/>
        <scheme val="none"/>
      </font>
      <alignment horizontal="general" vertical="top" textRotation="0" wrapText="1"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u val="none"/>
        <vertAlign val="baseline"/>
        <sz val="11"/>
        <name val="Times New Roman"/>
        <family val="1"/>
        <scheme val="none"/>
      </font>
      <alignment horizontal="general" vertical="top" textRotation="0" wrapText="1"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theme="1" tint="4.9989318521683403E-2"/>
        <name val="Times New Roman"/>
        <family val="1"/>
        <scheme val="none"/>
      </font>
      <alignment horizontal="general" vertical="top" textRotation="0" wrapText="1"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theme="1" tint="4.9989318521683403E-2"/>
        <name val="Times New Roman"/>
        <family val="1"/>
        <scheme val="none"/>
      </font>
      <alignment horizontal="general" vertical="top" textRotation="0" wrapText="1" indent="0" justifyLastLine="0" shrinkToFit="0" readingOrder="0"/>
      <border diagonalUp="0" diagonalDown="0" outline="0">
        <left/>
        <right style="thin">
          <color theme="0" tint="-0.24994659260841701"/>
        </right>
        <top style="thin">
          <color theme="0" tint="-0.24994659260841701"/>
        </top>
        <bottom style="thin">
          <color theme="0" tint="-0.24994659260841701"/>
        </bottom>
      </border>
    </dxf>
    <dxf>
      <border>
        <top style="thin">
          <color rgb="FFBFBFBF"/>
        </top>
      </border>
    </dxf>
    <dxf>
      <border diagonalUp="0" diagonalDown="0">
        <left style="thin">
          <color rgb="FFBFBFBF"/>
        </left>
        <right style="thin">
          <color rgb="FFBFBFBF"/>
        </right>
        <top style="thin">
          <color rgb="FFBFBFBF"/>
        </top>
        <bottom style="thin">
          <color rgb="FFBFBFBF"/>
        </bottom>
      </border>
    </dxf>
    <dxf>
      <font>
        <strike val="0"/>
        <outline val="0"/>
        <shadow val="0"/>
        <u val="none"/>
        <vertAlign val="baseline"/>
        <sz val="11"/>
        <name val="Times New Roman"/>
        <family val="1"/>
        <scheme val="none"/>
      </font>
      <alignment horizontal="general" vertical="top" textRotation="0" wrapText="1" indent="0" justifyLastLine="0" shrinkToFit="0" readingOrder="0"/>
    </dxf>
    <dxf>
      <border>
        <bottom style="thin">
          <color rgb="FFBFBFBF"/>
        </bottom>
      </border>
    </dxf>
    <dxf>
      <font>
        <b/>
        <i val="0"/>
        <strike val="0"/>
        <condense val="0"/>
        <extend val="0"/>
        <outline val="0"/>
        <shadow val="0"/>
        <u val="none"/>
        <vertAlign val="baseline"/>
        <sz val="11"/>
        <color auto="1"/>
        <name val="Times New Roman"/>
        <family val="1"/>
        <scheme val="none"/>
      </font>
      <fill>
        <patternFill patternType="solid">
          <fgColor theme="6"/>
          <bgColor theme="9" tint="0.79998168889431442"/>
        </patternFill>
      </fill>
      <alignment horizontal="general" vertical="top" textRotation="0" wrapText="0" indent="0" justifyLastLine="0" shrinkToFit="0" readingOrder="0"/>
      <border diagonalUp="0" diagonalDown="0" outline="0">
        <left style="thin">
          <color theme="6"/>
        </left>
        <right style="thin">
          <color theme="6"/>
        </right>
        <top/>
        <bottom/>
      </border>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rgb="FF0D0D0D"/>
        <name val="Times New Roman"/>
        <family val="1"/>
        <scheme val="none"/>
      </font>
      <fill>
        <patternFill patternType="none">
          <fgColor rgb="FF000000"/>
          <bgColor auto="1"/>
        </patternFill>
      </fill>
      <alignment horizontal="general" vertical="top" textRotation="0" wrapText="1" indent="0" justifyLastLine="0" shrinkToFit="0" readingOrder="0"/>
    </dxf>
    <dxf>
      <font>
        <b/>
        <i val="0"/>
        <strike val="0"/>
        <condense val="0"/>
        <extend val="0"/>
        <outline val="0"/>
        <shadow val="0"/>
        <u val="none"/>
        <vertAlign val="baseline"/>
        <sz val="11"/>
        <color auto="1"/>
        <name val="Times New Roman"/>
        <family val="1"/>
        <scheme val="none"/>
      </font>
      <fill>
        <patternFill patternType="solid">
          <fgColor theme="6"/>
          <bgColor theme="9" tint="0.79998168889431442"/>
        </patternFill>
      </fill>
      <alignment horizontal="general" vertical="top" textRotation="0" wrapText="0" indent="0" justifyLastLine="0" shrinkToFit="0" readingOrder="0"/>
      <border diagonalUp="0" diagonalDown="0" outline="0">
        <left style="thin">
          <color theme="6"/>
        </left>
        <right style="thin">
          <color theme="6"/>
        </right>
        <top/>
        <bottom/>
      </border>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rgb="FF0D0D0D"/>
        <name val="Times New Roman"/>
        <family val="1"/>
        <scheme val="none"/>
      </font>
      <fill>
        <patternFill patternType="none">
          <fgColor rgb="FF000000"/>
          <bgColor auto="1"/>
        </patternFill>
      </fill>
      <alignment horizontal="general" vertical="top" textRotation="0" wrapText="1" indent="0" justifyLastLine="0" shrinkToFit="0" readingOrder="0"/>
    </dxf>
    <dxf>
      <font>
        <b/>
        <i val="0"/>
        <strike val="0"/>
        <condense val="0"/>
        <extend val="0"/>
        <outline val="0"/>
        <shadow val="0"/>
        <u val="none"/>
        <vertAlign val="baseline"/>
        <sz val="11"/>
        <color auto="1"/>
        <name val="Times New Roman"/>
        <family val="1"/>
        <scheme val="none"/>
      </font>
      <fill>
        <patternFill patternType="solid">
          <fgColor theme="6"/>
          <bgColor theme="9" tint="0.79998168889431442"/>
        </patternFill>
      </fill>
      <alignment horizontal="general" vertical="top" textRotation="0" wrapText="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rgb="FF0D0D0D"/>
        <name val="Times New Roman"/>
        <family val="1"/>
        <scheme val="none"/>
      </font>
      <fill>
        <patternFill patternType="none">
          <fgColor rgb="FF000000"/>
          <bgColor auto="1"/>
        </patternFill>
      </fill>
      <alignment horizontal="general" vertical="top" textRotation="0" wrapText="1" indent="0" justifyLastLine="0" shrinkToFit="0" readingOrder="0"/>
    </dxf>
    <dxf>
      <font>
        <b/>
        <i val="0"/>
        <strike val="0"/>
        <condense val="0"/>
        <extend val="0"/>
        <outline val="0"/>
        <shadow val="0"/>
        <u val="none"/>
        <vertAlign val="baseline"/>
        <sz val="11"/>
        <color auto="1"/>
        <name val="Times New Roman"/>
        <family val="1"/>
        <scheme val="none"/>
      </font>
      <fill>
        <patternFill patternType="solid">
          <fgColor theme="6"/>
          <bgColor theme="9" tint="0.79998168889431442"/>
        </patternFill>
      </fill>
      <alignment horizontal="general" vertical="top" textRotation="0" wrapText="0" indent="0" justifyLastLine="0" shrinkToFit="0" readingOrder="0"/>
    </dxf>
    <dxf>
      <font>
        <strike val="0"/>
        <outline val="0"/>
        <shadow val="0"/>
        <u val="none"/>
        <vertAlign val="baseline"/>
        <sz val="11"/>
        <name val="Times New Roman"/>
        <family val="1"/>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Times New Roman"/>
        <family val="1"/>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Times New Roman"/>
        <family val="1"/>
        <scheme val="none"/>
      </font>
      <fill>
        <patternFill patternType="none">
          <fgColor rgb="FF000000"/>
          <bgColor auto="1"/>
        </patternFill>
      </fill>
      <alignment horizontal="general" vertical="top" textRotation="0" wrapText="1" indent="0" justifyLastLine="0" shrinkToFit="0" readingOrder="0"/>
    </dxf>
    <dxf>
      <font>
        <b/>
        <i val="0"/>
        <strike val="0"/>
        <condense val="0"/>
        <extend val="0"/>
        <outline val="0"/>
        <shadow val="0"/>
        <u val="none"/>
        <vertAlign val="baseline"/>
        <sz val="11"/>
        <color auto="1"/>
        <name val="Times New Roman"/>
        <family val="1"/>
        <scheme val="none"/>
      </font>
      <fill>
        <patternFill patternType="solid">
          <fgColor theme="6"/>
          <bgColor theme="9" tint="0.79998168889431442"/>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name val="Times New Roman"/>
        <family val="1"/>
        <scheme val="none"/>
      </font>
      <fill>
        <patternFill patternType="none">
          <fgColor indexed="64"/>
          <bgColor auto="1"/>
        </patternFill>
      </fill>
      <alignment horizontal="general" vertical="top" textRotation="0" wrapText="1" indent="0" justifyLastLine="0" shrinkToFit="0" readingOrder="0"/>
    </dxf>
    <dxf>
      <font>
        <b/>
        <i val="0"/>
        <strike val="0"/>
        <condense val="0"/>
        <extend val="0"/>
        <outline val="0"/>
        <shadow val="0"/>
        <u val="none"/>
        <vertAlign val="baseline"/>
        <sz val="11"/>
        <color auto="1"/>
        <name val="Times New Roman"/>
        <family val="1"/>
        <scheme val="none"/>
      </font>
      <fill>
        <patternFill>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0" indent="0" justifyLastLine="0" shrinkToFit="0" readingOrder="0"/>
    </dxf>
    <dxf>
      <font>
        <b/>
        <i val="0"/>
        <strike val="0"/>
        <condense val="0"/>
        <extend val="0"/>
        <outline val="0"/>
        <shadow val="0"/>
        <u val="none"/>
        <vertAlign val="baseline"/>
        <sz val="11"/>
        <color auto="1"/>
        <name val="Times New Roman"/>
        <family val="1"/>
        <scheme val="none"/>
      </font>
      <fill>
        <patternFill>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strike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strike val="0"/>
        <outline val="0"/>
        <shadow val="0"/>
        <u val="none"/>
        <vertAlign val="baseline"/>
        <sz val="11"/>
        <color rgb="FF0D0D0D"/>
        <name val="Times New Roman"/>
        <family val="1"/>
        <scheme val="none"/>
      </font>
      <fill>
        <patternFill patternType="none">
          <fgColor rgb="FF000000"/>
          <bgColor auto="1"/>
        </patternFill>
      </fill>
      <alignment horizontal="general" vertical="top" textRotation="0" indent="0" justifyLastLine="0" shrinkToFit="0" readingOrder="0"/>
    </dxf>
    <dxf>
      <font>
        <b/>
        <i val="0"/>
        <strike val="0"/>
        <condense val="0"/>
        <extend val="0"/>
        <outline val="0"/>
        <shadow val="0"/>
        <u val="none"/>
        <vertAlign val="baseline"/>
        <sz val="11"/>
        <color auto="1"/>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strike val="0"/>
        <outline val="0"/>
        <shadow val="0"/>
        <u val="none"/>
        <vertAlign val="baseline"/>
        <sz val="11"/>
        <name val="Times New Roman"/>
        <family val="1"/>
        <scheme val="none"/>
      </font>
      <alignment horizontal="general" vertical="top" textRotation="0" wrapText="0" indent="0" justifyLastLine="0" shrinkToFit="0" readingOrder="0"/>
    </dxf>
    <dxf>
      <font>
        <strike val="0"/>
        <outline val="0"/>
        <shadow val="0"/>
        <u val="none"/>
        <vertAlign val="baseline"/>
        <sz val="11"/>
        <name val="Times New Roman"/>
        <family val="1"/>
        <scheme val="none"/>
      </font>
      <alignment horizontal="general" vertical="top" textRotation="0" wrapText="0" indent="0" justifyLastLine="0" shrinkToFit="0" readingOrder="0"/>
    </dxf>
    <dxf>
      <font>
        <strike val="0"/>
        <outline val="0"/>
        <shadow val="0"/>
        <u val="none"/>
        <vertAlign val="baseline"/>
        <sz val="11"/>
        <name val="Times New Roman"/>
        <family val="1"/>
        <scheme val="none"/>
      </font>
      <alignment horizontal="general" vertical="top" textRotation="0" wrapText="0" indent="0" justifyLastLine="0" shrinkToFit="0" readingOrder="0"/>
    </dxf>
    <dxf>
      <font>
        <strike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wrapText="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strike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strike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color theme="1"/>
        <name val="Times New Roman"/>
        <family val="1"/>
        <scheme val="none"/>
      </font>
      <fill>
        <patternFill patternType="none">
          <fgColor indexed="64"/>
          <bgColor auto="1"/>
        </patternFill>
      </fill>
      <alignment horizontal="general" vertical="top" textRotation="0" indent="0" justifyLastLine="0" shrinkToFit="0" readingOrder="0"/>
    </dxf>
    <dxf>
      <font>
        <strike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strike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theme="1" tint="4.9989318521683403E-2"/>
        <name val="EB Garamond"/>
        <scheme val="none"/>
      </font>
      <alignment horizontal="general" vertical="top" textRotation="0" wrapText="0" indent="0" justifyLastLine="0" shrinkToFit="0" readingOrder="0"/>
    </dxf>
    <dxf>
      <font>
        <b val="0"/>
        <i val="0"/>
        <strike val="0"/>
        <condense val="0"/>
        <extend val="0"/>
        <outline val="0"/>
        <shadow val="0"/>
        <u val="none"/>
        <vertAlign val="baseline"/>
        <sz val="11"/>
        <color theme="1" tint="4.9989318521683403E-2"/>
        <name val="EB Garamond"/>
        <scheme val="none"/>
      </font>
      <alignment horizontal="general" vertical="top" textRotation="0" wrapText="0" indent="0" justifyLastLine="0" shrinkToFit="0" readingOrder="0"/>
    </dxf>
    <dxf>
      <font>
        <strike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tint="4.9989318521683403E-2"/>
        <name val="Times New Roman"/>
        <family val="1"/>
        <scheme val="none"/>
      </font>
      <fill>
        <patternFill patternType="solid">
          <fgColor indexed="64"/>
          <bgColor theme="9"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1"/>
        <color theme="0"/>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1"/>
        <color theme="1"/>
        <name val="EB Garamond"/>
        <scheme val="none"/>
      </font>
    </dxf>
    <dxf>
      <font>
        <b val="0"/>
        <i val="0"/>
        <strike val="0"/>
        <condense val="0"/>
        <extend val="0"/>
        <outline val="0"/>
        <shadow val="0"/>
        <u val="none"/>
        <vertAlign val="baseline"/>
        <sz val="11"/>
        <color theme="1"/>
        <name val="EB Garamond"/>
        <scheme val="none"/>
      </font>
      <numFmt numFmtId="0" formatCode="General"/>
    </dxf>
    <dxf>
      <font>
        <b val="0"/>
        <i val="0"/>
        <strike val="0"/>
        <condense val="0"/>
        <extend val="0"/>
        <outline val="0"/>
        <shadow val="0"/>
        <u val="none"/>
        <vertAlign val="baseline"/>
        <sz val="11"/>
        <color theme="1"/>
        <name val="EB Garamond"/>
        <scheme val="none"/>
      </font>
    </dxf>
    <dxf>
      <font>
        <b val="0"/>
        <i val="0"/>
        <strike val="0"/>
        <condense val="0"/>
        <extend val="0"/>
        <outline val="0"/>
        <shadow val="0"/>
        <u val="none"/>
        <vertAlign val="baseline"/>
        <sz val="11"/>
        <color theme="1"/>
        <name val="EB Garamond"/>
        <scheme val="none"/>
      </font>
    </dxf>
    <dxf>
      <font>
        <b val="0"/>
        <i val="0"/>
        <strike val="0"/>
        <condense val="0"/>
        <extend val="0"/>
        <outline val="0"/>
        <shadow val="0"/>
        <u val="none"/>
        <vertAlign val="baseline"/>
        <sz val="11"/>
        <color theme="1"/>
        <name val="EB Garamond"/>
        <scheme val="none"/>
      </font>
    </dxf>
    <dxf>
      <font>
        <b val="0"/>
        <i val="0"/>
        <strike val="0"/>
        <condense val="0"/>
        <extend val="0"/>
        <outline val="0"/>
        <shadow val="0"/>
        <u val="none"/>
        <vertAlign val="baseline"/>
        <sz val="11"/>
        <color theme="1"/>
        <name val="EB Garamond"/>
        <scheme val="none"/>
      </font>
    </dxf>
    <dxf>
      <font>
        <b val="0"/>
        <i val="0"/>
        <strike val="0"/>
        <condense val="0"/>
        <extend val="0"/>
        <outline val="0"/>
        <shadow val="0"/>
        <u val="none"/>
        <vertAlign val="baseline"/>
        <sz val="11"/>
        <color theme="1"/>
        <name val="EB Garamond"/>
        <scheme val="none"/>
      </font>
    </dxf>
    <dxf>
      <font>
        <b val="0"/>
        <i val="0"/>
        <strike val="0"/>
        <condense val="0"/>
        <extend val="0"/>
        <outline val="0"/>
        <shadow val="0"/>
        <u val="none"/>
        <vertAlign val="baseline"/>
        <sz val="11"/>
        <color theme="1"/>
        <name val="EB Garamond"/>
        <scheme val="none"/>
      </font>
      <numFmt numFmtId="0" formatCode="General"/>
    </dxf>
    <dxf>
      <font>
        <b val="0"/>
        <i val="0"/>
        <strike val="0"/>
        <condense val="0"/>
        <extend val="0"/>
        <outline val="0"/>
        <shadow val="0"/>
        <u val="none"/>
        <vertAlign val="baseline"/>
        <sz val="11"/>
        <color theme="1"/>
        <name val="EB Garamond"/>
        <scheme val="none"/>
      </font>
    </dxf>
    <dxf>
      <font>
        <b val="0"/>
        <i val="0"/>
        <strike val="0"/>
        <condense val="0"/>
        <extend val="0"/>
        <outline val="0"/>
        <shadow val="0"/>
        <u val="none"/>
        <vertAlign val="baseline"/>
        <sz val="11"/>
        <color theme="1"/>
        <name val="EB Garamond"/>
        <scheme val="none"/>
      </font>
    </dxf>
    <dxf>
      <font>
        <strike val="0"/>
        <outline val="0"/>
        <shadow val="0"/>
        <u val="none"/>
        <vertAlign val="baseline"/>
        <sz val="11"/>
        <color theme="1"/>
        <name val="EB Garamond"/>
        <scheme val="none"/>
      </font>
    </dxf>
    <dxf>
      <font>
        <strike val="0"/>
        <outline val="0"/>
        <shadow val="0"/>
        <u val="none"/>
        <vertAlign val="baseline"/>
        <sz val="11"/>
        <color theme="1"/>
        <name val="EB Garamond"/>
        <scheme val="none"/>
      </font>
    </dxf>
    <dxf>
      <font>
        <strike val="0"/>
        <outline val="0"/>
        <shadow val="0"/>
        <u val="none"/>
        <vertAlign val="baseline"/>
        <sz val="11"/>
        <color theme="1"/>
        <name val="EB Garamond"/>
        <scheme val="none"/>
      </font>
    </dxf>
    <dxf>
      <font>
        <strike val="0"/>
        <outline val="0"/>
        <shadow val="0"/>
        <u val="none"/>
        <vertAlign val="baseline"/>
        <sz val="11"/>
        <color theme="1"/>
        <name val="EB Garamond"/>
        <scheme val="none"/>
      </font>
    </dxf>
    <dxf>
      <font>
        <strike val="0"/>
        <outline val="0"/>
        <shadow val="0"/>
        <u val="none"/>
        <vertAlign val="baseline"/>
        <sz val="11"/>
        <color theme="1"/>
        <name val="EB Garamond"/>
        <scheme val="none"/>
      </font>
    </dxf>
    <dxf>
      <font>
        <strike val="0"/>
        <outline val="0"/>
        <shadow val="0"/>
        <u val="none"/>
        <vertAlign val="baseline"/>
        <sz val="11"/>
        <color theme="1"/>
        <name val="EB Garamond"/>
        <scheme val="none"/>
      </font>
    </dxf>
    <dxf>
      <font>
        <strike val="0"/>
        <outline val="0"/>
        <shadow val="0"/>
        <u val="none"/>
        <vertAlign val="baseline"/>
        <sz val="11"/>
        <color theme="1"/>
        <name val="EB Garamond"/>
        <scheme val="none"/>
      </font>
    </dxf>
    <dxf>
      <font>
        <b val="0"/>
        <i val="0"/>
        <strike val="0"/>
        <condense val="0"/>
        <extend val="0"/>
        <outline val="0"/>
        <shadow val="0"/>
        <u val="none"/>
        <vertAlign val="baseline"/>
        <sz val="11"/>
        <color theme="1"/>
        <name val="EB Garamond"/>
        <scheme val="none"/>
      </font>
    </dxf>
    <dxf>
      <border diagonalUp="0" diagonalDown="0">
        <left/>
        <right/>
        <top/>
        <bottom/>
      </border>
    </dxf>
    <dxf>
      <font>
        <strike val="0"/>
        <outline val="0"/>
        <shadow val="0"/>
        <u val="none"/>
        <vertAlign val="baseline"/>
        <sz val="11"/>
        <color theme="1"/>
        <name val="EB Garamond"/>
        <scheme val="none"/>
      </font>
    </dxf>
    <dxf>
      <font>
        <strike val="0"/>
        <outline val="0"/>
        <shadow val="0"/>
        <u val="none"/>
        <vertAlign val="baseline"/>
        <sz val="11"/>
        <color theme="1"/>
        <name val="EB Garamond"/>
        <scheme val="none"/>
      </font>
      <fill>
        <patternFill patternType="solid">
          <fgColor indexed="64"/>
          <bgColor theme="1" tint="0.499984740745262"/>
        </patternFill>
      </fill>
      <border diagonalUp="0" diagonalDown="0" outline="0">
        <left style="hair">
          <color auto="1"/>
        </left>
        <right style="hair">
          <color auto="1"/>
        </right>
        <top/>
        <bottom/>
      </border>
    </dxf>
    <dxf>
      <font>
        <b val="0"/>
        <i val="0"/>
        <strike val="0"/>
        <condense val="0"/>
        <extend val="0"/>
        <outline val="0"/>
        <shadow val="0"/>
        <u val="none"/>
        <vertAlign val="baseline"/>
        <sz val="11"/>
        <color theme="1"/>
        <name val="Times New Roman"/>
        <family val="1"/>
        <scheme val="none"/>
      </font>
      <numFmt numFmtId="2" formatCode="0.0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2" formatCode="0.0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2" formatCode="0.0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2" formatCode="0.0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2" formatCode="0.0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2" formatCode="0.0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2" formatCode="0.0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165" formatCode="dd\-mmm\-yy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center" vertical="top"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numFmt numFmtId="2" formatCode="0.00"/>
      <alignment horizontal="right" vertical="top" textRotation="0" wrapText="0" indent="0" justifyLastLine="0" shrinkToFit="0" readingOrder="0"/>
      <border diagonalUp="0" diagonalDown="0" outline="0">
        <left/>
        <right style="thin">
          <color theme="1"/>
        </right>
        <top style="thin">
          <color theme="1"/>
        </top>
        <bottom/>
      </border>
    </dxf>
    <dxf>
      <font>
        <b val="0"/>
        <i val="0"/>
        <strike val="0"/>
        <condense val="0"/>
        <extend val="0"/>
        <outline val="0"/>
        <shadow val="0"/>
        <u val="none"/>
        <vertAlign val="baseline"/>
        <sz val="11"/>
        <color theme="1"/>
        <name val="EB Garamond"/>
        <scheme val="none"/>
      </font>
      <alignment horizontal="left"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theme="1"/>
        <name val="EB Garamond"/>
        <scheme val="none"/>
      </font>
      <alignment horizontal="left"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theme="1"/>
        <name val="EB Garamond"/>
        <scheme val="none"/>
      </font>
      <numFmt numFmtId="2" formatCode="0.00"/>
      <alignment horizontal="left" vertical="top" textRotation="0" wrapText="0"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theme="1"/>
        <name val="EB Garamond"/>
        <scheme val="none"/>
      </font>
      <alignment horizontal="left"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theme="1"/>
        <name val="EB Garamond"/>
        <scheme val="none"/>
      </font>
      <alignment horizontal="left" vertical="top" textRotation="0" wrapText="0" indent="0" justifyLastLine="0" shrinkToFit="0" readingOrder="0"/>
      <border diagonalUp="0" diagonalDown="0" outline="0">
        <left/>
        <right/>
        <top style="thin">
          <color theme="1"/>
        </top>
        <bottom/>
      </border>
    </dxf>
    <dxf>
      <border outline="0">
        <top style="thin">
          <color theme="1"/>
        </top>
        <bottom style="thin">
          <color theme="1"/>
        </bottom>
      </border>
    </dxf>
    <dxf>
      <font>
        <b val="0"/>
        <i val="0"/>
        <strike val="0"/>
        <condense val="0"/>
        <extend val="0"/>
        <outline val="0"/>
        <shadow val="0"/>
        <u val="none"/>
        <vertAlign val="baseline"/>
        <sz val="11"/>
        <color theme="1"/>
        <name val="EB Garamond"/>
        <scheme val="none"/>
      </font>
      <alignment horizontal="left" vertical="top" textRotation="0" wrapText="1" indent="0" justifyLastLine="0" shrinkToFit="0" readingOrder="0"/>
    </dxf>
    <dxf>
      <font>
        <b/>
        <i val="0"/>
        <strike val="0"/>
        <condense val="0"/>
        <extend val="0"/>
        <outline val="0"/>
        <shadow val="0"/>
        <u val="none"/>
        <vertAlign val="baseline"/>
        <sz val="11"/>
        <color theme="0"/>
        <name val="EB Garamond"/>
        <scheme val="none"/>
      </font>
      <fill>
        <patternFill patternType="solid">
          <fgColor theme="1"/>
          <bgColor theme="1"/>
        </patternFill>
      </fill>
      <alignment horizontal="center" vertical="top"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numFmt numFmtId="2" formatCode="0.00"/>
      <alignment horizontal="left" vertical="top" textRotation="0" wrapText="0" indent="0" justifyLastLine="0" shrinkToFit="0" readingOrder="0"/>
      <border diagonalUp="0" diagonalDown="0" outline="0">
        <left style="hair">
          <color auto="1"/>
        </left>
        <right style="thin">
          <color theme="1"/>
        </right>
        <top style="thin">
          <color theme="1"/>
        </top>
        <bottom/>
      </border>
    </dxf>
    <dxf>
      <font>
        <b val="0"/>
        <i val="0"/>
        <strike val="0"/>
        <condense val="0"/>
        <extend val="0"/>
        <outline val="0"/>
        <shadow val="0"/>
        <u val="none"/>
        <vertAlign val="baseline"/>
        <sz val="11"/>
        <color theme="1"/>
        <name val="EB Garamond"/>
        <scheme val="none"/>
      </font>
      <numFmt numFmtId="2" formatCode="0.00"/>
      <alignment horizontal="left" vertical="top" textRotation="0" wrapText="0" indent="0" justifyLastLine="0" shrinkToFit="0" readingOrder="0"/>
      <border diagonalUp="0" diagonalDown="0" outline="0">
        <left style="hair">
          <color auto="1"/>
        </left>
        <right/>
        <top style="thin">
          <color theme="1"/>
        </top>
        <bottom/>
      </border>
    </dxf>
    <dxf>
      <font>
        <b val="0"/>
        <i val="0"/>
        <strike val="0"/>
        <condense val="0"/>
        <extend val="0"/>
        <outline val="0"/>
        <shadow val="0"/>
        <u val="none"/>
        <vertAlign val="baseline"/>
        <sz val="11"/>
        <color theme="1"/>
        <name val="EB Garamond"/>
        <scheme val="none"/>
      </font>
      <numFmt numFmtId="2" formatCode="0.00"/>
      <alignment horizontal="left" vertical="top" textRotation="0" wrapText="0" indent="0" justifyLastLine="0" shrinkToFit="0" readingOrder="0"/>
      <border diagonalUp="0" diagonalDown="0" outline="0">
        <left style="hair">
          <color auto="1"/>
        </left>
        <right/>
        <top style="thin">
          <color theme="1"/>
        </top>
        <bottom/>
      </border>
    </dxf>
    <dxf>
      <font>
        <b val="0"/>
        <i val="0"/>
        <strike val="0"/>
        <condense val="0"/>
        <extend val="0"/>
        <outline val="0"/>
        <shadow val="0"/>
        <u val="none"/>
        <vertAlign val="baseline"/>
        <sz val="11"/>
        <color theme="1"/>
        <name val="EB Garamond"/>
        <scheme val="none"/>
      </font>
      <numFmt numFmtId="2" formatCode="0.00"/>
      <alignment horizontal="left" vertical="top" textRotation="0" wrapText="0" indent="0" justifyLastLine="0" shrinkToFit="0" readingOrder="0"/>
      <border diagonalUp="0" diagonalDown="0" outline="0">
        <left style="hair">
          <color auto="1"/>
        </left>
        <right/>
        <top style="thin">
          <color theme="1"/>
        </top>
        <bottom/>
      </border>
    </dxf>
    <dxf>
      <font>
        <b val="0"/>
        <i val="0"/>
        <strike val="0"/>
        <condense val="0"/>
        <extend val="0"/>
        <outline val="0"/>
        <shadow val="0"/>
        <u val="none"/>
        <vertAlign val="baseline"/>
        <sz val="11"/>
        <color theme="1"/>
        <name val="EB Garamond"/>
        <scheme val="none"/>
      </font>
      <alignment horizontal="left" vertical="top" textRotation="0" wrapText="1" indent="0" justifyLastLine="0" shrinkToFit="0" readingOrder="0"/>
      <border diagonalUp="0" diagonalDown="0" outline="0">
        <left style="hair">
          <color auto="1"/>
        </left>
        <right/>
        <top style="thin">
          <color theme="1"/>
        </top>
        <bottom/>
      </border>
    </dxf>
    <dxf>
      <font>
        <b val="0"/>
        <i val="0"/>
        <strike val="0"/>
        <condense val="0"/>
        <extend val="0"/>
        <outline val="0"/>
        <shadow val="0"/>
        <u val="none"/>
        <vertAlign val="baseline"/>
        <sz val="11"/>
        <color theme="1"/>
        <name val="EB Garamond"/>
        <scheme val="none"/>
      </font>
      <alignment horizontal="left" vertical="top" textRotation="0" wrapText="1" indent="0" justifyLastLine="0" shrinkToFit="0" readingOrder="0"/>
      <border diagonalUp="0" diagonalDown="0" outline="0">
        <left style="hair">
          <color auto="1"/>
        </left>
        <right/>
        <top style="thin">
          <color theme="1"/>
        </top>
        <bottom/>
      </border>
    </dxf>
    <dxf>
      <font>
        <b val="0"/>
        <i val="0"/>
        <strike val="0"/>
        <condense val="0"/>
        <extend val="0"/>
        <outline val="0"/>
        <shadow val="0"/>
        <u val="none"/>
        <vertAlign val="baseline"/>
        <sz val="11"/>
        <color theme="1"/>
        <name val="EB Garamond"/>
        <scheme val="none"/>
      </font>
      <alignment horizontal="left" vertical="top" textRotation="0" wrapText="0" indent="0" justifyLastLine="0" shrinkToFit="0" readingOrder="0"/>
      <border diagonalUp="0" diagonalDown="0" outline="0">
        <left style="hair">
          <color auto="1"/>
        </left>
        <right/>
        <top style="thin">
          <color theme="1"/>
        </top>
        <bottom/>
      </border>
    </dxf>
    <dxf>
      <border outline="0">
        <top style="thin">
          <color theme="1"/>
        </top>
        <bottom style="thin">
          <color theme="1"/>
        </bottom>
      </border>
    </dxf>
    <dxf>
      <font>
        <b val="0"/>
        <i val="0"/>
        <strike val="0"/>
        <condense val="0"/>
        <extend val="0"/>
        <outline val="0"/>
        <shadow val="0"/>
        <u val="none"/>
        <vertAlign val="baseline"/>
        <sz val="11"/>
        <color theme="1"/>
        <name val="EB Garamond"/>
        <scheme val="none"/>
      </font>
      <alignment horizontal="left" vertical="top" textRotation="0" wrapText="0" indent="0" justifyLastLine="0" shrinkToFit="0" readingOrder="0"/>
    </dxf>
    <dxf>
      <font>
        <b/>
        <i val="0"/>
        <strike val="0"/>
        <condense val="0"/>
        <extend val="0"/>
        <outline val="0"/>
        <shadow val="0"/>
        <u val="none"/>
        <vertAlign val="baseline"/>
        <sz val="11"/>
        <color theme="0"/>
        <name val="EB Garamond"/>
        <scheme val="none"/>
      </font>
      <fill>
        <patternFill patternType="solid">
          <fgColor theme="1"/>
          <bgColor theme="1"/>
        </patternFill>
      </fill>
      <alignment horizontal="center" vertical="top"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numFmt numFmtId="2" formatCode="0.00"/>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name val="EB Garamond"/>
        <scheme val="none"/>
      </font>
      <fill>
        <patternFill patternType="none">
          <fgColor indexed="64"/>
          <bgColor auto="1"/>
        </patternFill>
      </fill>
    </dxf>
    <dxf>
      <font>
        <b val="0"/>
        <i val="0"/>
        <strike val="0"/>
        <condense val="0"/>
        <extend val="0"/>
        <outline val="0"/>
        <shadow val="0"/>
        <u val="none"/>
        <vertAlign val="baseline"/>
        <sz val="11"/>
        <color rgb="FF000000"/>
        <name val="EB Garamond"/>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EB Garamond"/>
        <scheme val="none"/>
      </font>
      <numFmt numFmtId="165" formatCode="dd\-mmm\-yyyy"/>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EB Garamond"/>
        <scheme val="none"/>
      </font>
      <numFmt numFmtId="165" formatCode="dd\-mmm\-yyyy"/>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vertical="top" textRotation="0"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name val="EB Garamond"/>
        <scheme val="none"/>
      </font>
      <fill>
        <patternFill patternType="none">
          <fgColor indexed="64"/>
          <bgColor auto="1"/>
        </patternFill>
      </fill>
    </dxf>
    <dxf>
      <font>
        <strike val="0"/>
        <outline val="0"/>
        <shadow val="0"/>
        <u val="none"/>
        <vertAlign val="baseline"/>
        <sz val="11"/>
        <name val="EB Garamond"/>
        <scheme val="none"/>
      </font>
      <numFmt numFmtId="1" formatCode="0"/>
      <fill>
        <patternFill patternType="none">
          <fgColor indexed="64"/>
          <bgColor auto="1"/>
        </patternFill>
      </fill>
    </dxf>
    <dxf>
      <font>
        <b val="0"/>
        <i val="0"/>
        <strike val="0"/>
        <condense val="0"/>
        <extend val="0"/>
        <outline val="0"/>
        <shadow val="0"/>
        <u val="none"/>
        <vertAlign val="baseline"/>
        <sz val="11"/>
        <color theme="1"/>
        <name val="EB Garamond"/>
        <scheme val="none"/>
      </font>
      <numFmt numFmtId="2" formatCode="0.00"/>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EB Garamond"/>
        <scheme val="none"/>
      </font>
      <numFmt numFmtId="1"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theme="1"/>
        <name val="EB Garamond"/>
        <scheme val="none"/>
      </font>
      <numFmt numFmtId="1"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name val="EB Garamond"/>
        <scheme val="none"/>
      </font>
      <fill>
        <patternFill patternType="none">
          <fgColor indexed="64"/>
          <bgColor auto="1"/>
        </patternFill>
      </fill>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top" textRotation="0" wrapText="0"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1"/>
        <name val="Times New Roman"/>
        <family val="1"/>
        <scheme val="none"/>
      </font>
      <fill>
        <patternFill patternType="solid">
          <fgColor indexed="64"/>
          <bgColor theme="0" tint="-0.249977111117893"/>
        </patternFill>
      </fill>
      <alignment horizontal="general" vertical="top" textRotation="0" wrapText="0" indent="0" justifyLastLine="0" shrinkToFit="0" readingOrder="0"/>
    </dxf>
    <dxf>
      <font>
        <strike val="0"/>
        <outline val="0"/>
        <shadow val="0"/>
        <u val="none"/>
        <vertAlign val="baseline"/>
        <sz val="11"/>
        <color theme="1"/>
        <name val="Times New Roman"/>
        <family val="1"/>
        <scheme val="none"/>
      </font>
      <fill>
        <patternFill patternType="none">
          <fgColor indexed="64"/>
          <bgColor auto="1"/>
        </patternFill>
      </fill>
    </dxf>
    <dxf>
      <font>
        <b/>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center" vertical="top"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rgb="FF000000"/>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numFmt numFmtId="167" formatCode="_(&quot;$&quot;* #,##0_);_(&quot;$&quot;* \(#,##0\);_(&quot;$&quot;* &quot;-&quot;??_);_(@_)"/>
      <fill>
        <patternFill patternType="solid">
          <fgColor indexed="64"/>
          <bgColor theme="0"/>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EB Garamond"/>
        <scheme val="none"/>
      </font>
      <numFmt numFmtId="164" formatCode="[$-409]d\-mmm\-yyyy;@"/>
      <fill>
        <patternFill patternType="none">
          <fgColor indexed="64"/>
          <bgColor auto="1"/>
        </patternFill>
      </fill>
      <alignment horizontal="left"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vertical="top" textRotation="0" indent="0" justifyLastLine="0" shrinkToFit="0" readingOrder="0"/>
    </dxf>
    <dxf>
      <font>
        <b val="0"/>
        <i val="0"/>
        <strike val="0"/>
        <condense val="0"/>
        <extend val="0"/>
        <outline val="0"/>
        <shadow val="0"/>
        <u val="none"/>
        <vertAlign val="baseline"/>
        <sz val="11"/>
        <color rgb="FF000000"/>
        <name val="EB Garamond"/>
        <scheme val="none"/>
      </font>
      <numFmt numFmtId="0" formatCode="General"/>
      <fill>
        <patternFill patternType="none">
          <fgColor rgb="FF000000"/>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164" formatCode="[$-409]d\-mmm\-yyyy;@"/>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numFmt numFmtId="164" formatCode="[$-409]d\-mmm\-yyyy;@"/>
      <fill>
        <patternFill patternType="none">
          <fgColor rgb="FF000000"/>
          <bgColor auto="1"/>
        </patternFill>
      </fill>
      <alignment horizontal="left"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rgb="FF000000"/>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vertical="top" textRotation="0" indent="0" justifyLastLine="0" shrinkToFit="0" readingOrder="0"/>
    </dxf>
    <dxf>
      <font>
        <b val="0"/>
        <i val="0"/>
        <strike val="0"/>
        <condense val="0"/>
        <extend val="0"/>
        <outline val="0"/>
        <shadow val="0"/>
        <u val="none"/>
        <vertAlign val="baseline"/>
        <sz val="11"/>
        <color rgb="FF000000"/>
        <name val="EB Garamond"/>
        <scheme val="none"/>
      </font>
      <numFmt numFmtId="0" formatCode="General"/>
      <fill>
        <patternFill patternType="none">
          <fgColor rgb="FF000000"/>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EB Garamond"/>
        <scheme val="none"/>
      </font>
      <numFmt numFmtId="167" formatCode="_(&quot;$&quot;* #,##0_);_(&quot;$&quot;* \(#,##0\);_(&quot;$&quot;* &quot;-&quot;??_);_(@_)"/>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numFmt numFmtId="164" formatCode="[$-409]d\-mmm\-yyyy;@"/>
      <fill>
        <patternFill patternType="none">
          <fgColor indexed="64"/>
          <bgColor indexed="65"/>
        </patternFill>
      </fill>
      <alignment horizontal="left"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rgb="FF000000"/>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vertical="top" textRotation="0" indent="0" justifyLastLine="0" shrinkToFit="0" readingOrder="0"/>
    </dxf>
    <dxf>
      <font>
        <b val="0"/>
        <i val="0"/>
        <strike val="0"/>
        <condense val="0"/>
        <extend val="0"/>
        <outline val="0"/>
        <shadow val="0"/>
        <u val="none"/>
        <vertAlign val="baseline"/>
        <sz val="11"/>
        <color rgb="FF000000"/>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164" formatCode="[$-409]d\-mmm\-yyyy;@"/>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numFmt numFmtId="164" formatCode="[$-409]d\-mmm\-yyyy;@"/>
      <fill>
        <patternFill patternType="none">
          <fgColor indexed="64"/>
          <bgColor auto="1"/>
        </patternFill>
      </fill>
      <alignment horizontal="left"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vertical="top" textRotation="0" indent="0" justifyLastLine="0" shrinkToFit="0" readingOrder="0"/>
    </dxf>
    <dxf>
      <font>
        <b val="0"/>
        <i val="0"/>
        <strike val="0"/>
        <condense val="0"/>
        <extend val="0"/>
        <outline val="0"/>
        <shadow val="0"/>
        <u val="none"/>
        <vertAlign val="baseline"/>
        <sz val="11"/>
        <color rgb="FF000000"/>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numFmt numFmtId="167" formatCode="_(&quot;$&quot;* #,##0_);_(&quot;$&quot;* \(#,##0\);_(&quot;$&quot;* &quot;-&quot;??_);_(@_)"/>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numFmt numFmtId="164" formatCode="[$-409]d\-mmm\-yyyy;@"/>
      <fill>
        <patternFill patternType="none">
          <fgColor indexed="64"/>
          <bgColor auto="1"/>
        </patternFill>
      </fill>
      <alignment horizontal="left"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30" formatCode="@"/>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vertical="top" textRotation="0"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vertical="top" textRotation="0" indent="0" justifyLastLine="0" shrinkToFit="0" readingOrder="0"/>
    </dxf>
    <dxf>
      <font>
        <strike val="0"/>
        <outline val="0"/>
        <shadow val="0"/>
        <u val="none"/>
        <vertAlign val="baseline"/>
        <sz val="11"/>
        <color theme="1"/>
        <name val="EB Garamond"/>
        <scheme val="none"/>
      </font>
      <numFmt numFmtId="167" formatCode="_(&quot;$&quot;* #,##0_);_(&quot;$&quot;* \(#,##0\);_(&quot;$&quot;* &quot;-&quot;??_);_(@_)"/>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1" formatCode="0"/>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2" formatCode="0.00"/>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1" formatCode="0"/>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1" formatCode="0"/>
      <fill>
        <patternFill patternType="solid">
          <fgColor indexed="64"/>
          <bgColor theme="0"/>
        </patternFill>
      </fill>
      <alignment horizontal="left" vertical="top" textRotation="0" wrapText="1" indent="0" justifyLastLine="0" shrinkToFit="0" readingOrder="0"/>
    </dxf>
    <dxf>
      <font>
        <strike val="0"/>
        <outline val="0"/>
        <shadow val="0"/>
        <u val="none"/>
        <vertAlign val="baseline"/>
        <sz val="11"/>
        <color theme="1"/>
        <name val="EB Garamond"/>
        <scheme val="none"/>
      </font>
      <numFmt numFmtId="164" formatCode="[$-409]d\-mmm\-yyyy;@"/>
      <fill>
        <patternFill patternType="solid">
          <fgColor indexed="64"/>
          <bgColor theme="0"/>
        </patternFill>
      </fill>
      <alignment horizontal="righ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2" formatCode="0.00"/>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2" formatCode="0.00"/>
      <fill>
        <patternFill>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theme="0"/>
        </patternFill>
      </fill>
      <alignment horizontal="left" vertical="top" textRotation="0" wrapText="1" indent="0" justifyLastLine="0" shrinkToFit="0" readingOrder="0"/>
    </dxf>
    <dxf>
      <font>
        <strike val="0"/>
        <outline val="0"/>
        <shadow val="0"/>
        <u val="none"/>
        <vertAlign val="baseline"/>
        <sz val="11"/>
        <color theme="1"/>
        <name val="Times New Roman"/>
        <family val="1"/>
        <scheme val="none"/>
      </font>
      <fill>
        <patternFill patternType="none">
          <fgColor indexed="64"/>
          <bgColor theme="0"/>
        </patternFill>
      </fill>
      <alignment vertical="top" textRotation="0" wrapText="1" indent="0" justifyLastLine="0" shrinkToFit="0" readingOrder="0"/>
    </dxf>
    <dxf>
      <font>
        <b/>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center" vertical="top" textRotation="0" wrapText="1" indent="0" justifyLastLine="0" shrinkToFit="0" readingOrder="0"/>
      <border diagonalUp="0" diagonalDown="0" outline="0">
        <left style="hair">
          <color auto="1"/>
        </left>
        <right style="hair">
          <color auto="1"/>
        </right>
        <top/>
        <bottom/>
      </border>
    </dxf>
    <dxf>
      <border diagonalUp="0" diagonalDown="0">
        <left/>
        <right/>
        <top/>
        <bottom/>
      </border>
    </dxf>
    <dxf>
      <font>
        <b/>
        <i val="0"/>
        <strike val="0"/>
        <condense val="0"/>
        <extend val="0"/>
        <outline val="0"/>
        <shadow val="0"/>
        <u val="none"/>
        <vertAlign val="baseline"/>
        <sz val="11"/>
        <color theme="0"/>
        <name val="EB Garamond"/>
        <scheme val="none"/>
      </font>
      <fill>
        <patternFill patternType="none">
          <fgColor indexed="64"/>
          <bgColor auto="1"/>
        </patternFill>
      </fill>
      <alignment horizontal="center" vertical="top"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auto="1"/>
        <name val="Times New Roman"/>
        <family val="1"/>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Times New Roman"/>
        <family val="1"/>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top/>
        <bottom/>
        <vertical/>
        <horizontal/>
      </border>
    </dxf>
    <dxf>
      <font>
        <b val="0"/>
        <i val="0"/>
        <strike val="0"/>
        <condense val="0"/>
        <extend val="0"/>
        <outline val="0"/>
        <shadow val="0"/>
        <u val="none"/>
        <vertAlign val="baseline"/>
        <sz val="11"/>
        <color auto="1"/>
        <name val="Times New Roman"/>
        <family val="1"/>
        <scheme val="none"/>
      </font>
      <fill>
        <patternFill patternType="none">
          <fgColor indexed="64"/>
          <bgColor indexed="65"/>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Times New Roman"/>
        <family val="1"/>
        <scheme val="none"/>
      </font>
      <fill>
        <patternFill patternType="none">
          <fgColor indexed="64"/>
          <bgColor indexed="65"/>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Times New Roman"/>
        <family val="1"/>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auto="1"/>
        <name val="EB Garamond"/>
        <scheme val="none"/>
      </font>
      <fill>
        <patternFill patternType="none">
          <fgColor indexed="64"/>
          <bgColor auto="1"/>
        </patternFill>
      </fill>
      <alignment horizontal="left" vertical="top" textRotation="0" wrapText="1" indent="0" justifyLastLine="0" shrinkToFit="0" readingOrder="0"/>
      <border diagonalUp="0" diagonalDown="0">
        <left/>
        <right style="hair">
          <color auto="1"/>
        </right>
        <top/>
        <bottom/>
        <vertical/>
        <horizontal/>
      </border>
    </dxf>
    <dxf>
      <font>
        <b val="0"/>
        <i val="0"/>
        <strike val="0"/>
        <condense val="0"/>
        <extend val="0"/>
        <outline val="0"/>
        <shadow val="0"/>
        <u val="none"/>
        <vertAlign val="baseline"/>
        <sz val="11"/>
        <color auto="1"/>
        <name val="Times New Roman"/>
        <family val="1"/>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1"/>
        <color theme="0"/>
        <name val="Times New Roman"/>
        <family val="1"/>
        <scheme val="none"/>
      </font>
      <fill>
        <patternFill patternType="none">
          <fgColor indexed="64"/>
          <bgColor auto="1"/>
        </patternFill>
      </fill>
      <alignment horizontal="center" vertical="top"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tint="4.9989318521683403E-2"/>
        <name val="Times New Roman"/>
        <family val="1"/>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left style="thin">
          <color theme="0" tint="-0.24994659260841701"/>
        </left>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tint="4.9989318521683403E-2"/>
        <name val="EB Garamond"/>
        <scheme val="none"/>
      </font>
      <alignment horizontal="general"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indexed="65"/>
        </patternFill>
      </fill>
      <alignment horizontal="general"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1" indent="0" justifyLastLine="0" shrinkToFit="0" readingOrder="0"/>
      <border diagonalUp="0" diagonalDown="0">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tint="4.9989318521683403E-2"/>
        <name val="Times New Roman"/>
        <family val="1"/>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general" vertical="top" textRotation="0" wrapText="1" indent="0" justifyLastLine="0" shrinkToFit="0" readingOrder="0"/>
    </dxf>
    <dxf>
      <font>
        <b/>
        <i val="0"/>
        <strike val="0"/>
        <condense val="0"/>
        <extend val="0"/>
        <outline val="0"/>
        <shadow val="0"/>
        <u val="none"/>
        <vertAlign val="baseline"/>
        <sz val="11"/>
        <color theme="0"/>
        <name val="Times New Roman"/>
        <family val="1"/>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rgb="FF000000"/>
          <bgColor auto="1"/>
        </patternFill>
      </fill>
      <alignment horizontal="left" vertical="top" textRotation="0" wrapText="1" indent="0" justifyLastLine="0" shrinkToFit="0" readingOrder="0"/>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right style="hair">
          <color auto="1"/>
        </right>
        <top style="hair">
          <color auto="1"/>
        </top>
        <bottom style="hair">
          <color auto="1"/>
        </bottom>
      </border>
    </dxf>
    <dxf>
      <border outline="0">
        <top style="hair">
          <color auto="1"/>
        </top>
      </border>
    </dxf>
    <dxf>
      <border outline="0">
        <left style="thin">
          <color auto="1"/>
        </left>
        <right style="thin">
          <color auto="1"/>
        </right>
        <top style="thin">
          <color auto="1"/>
        </top>
        <bottom style="thin">
          <color auto="1"/>
        </bottom>
      </border>
    </dxf>
    <dxf>
      <font>
        <strike val="0"/>
        <outline val="0"/>
        <shadow val="0"/>
        <u val="none"/>
        <vertAlign val="baseline"/>
        <sz val="11"/>
        <color rgb="FF000000"/>
        <name val="EB Garamond"/>
        <scheme val="none"/>
      </font>
      <fill>
        <patternFill patternType="none">
          <fgColor rgb="FF000000"/>
          <bgColor auto="1"/>
        </patternFill>
      </fill>
      <alignment vertical="top" textRotation="0" wrapText="1" indent="0" justifyLastLine="0" shrinkToFit="0" readingOrder="0"/>
    </dxf>
    <dxf>
      <border outline="0">
        <bottom style="hair">
          <color auto="1"/>
        </bottom>
      </border>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1"/>
        <color theme="0"/>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name val="EB Garamond"/>
        <scheme val="none"/>
      </font>
      <alignment horizontal="left" vertical="top" textRotation="0" wrapText="1" indent="0" justifyLastLine="0" shrinkToFit="0" readingOrder="0"/>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indexed="64"/>
          <bgColor auto="1"/>
        </patternFill>
      </fill>
      <alignment horizontal="left" vertical="bottom" textRotation="0" wrapText="1" indent="0" justifyLastLine="0" shrinkToFit="0" readingOrder="0"/>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EB Garamond"/>
        <scheme val="none"/>
      </font>
      <fill>
        <patternFill patternType="none">
          <fgColor indexed="64"/>
          <bgColor auto="1"/>
        </patternFill>
      </fill>
      <alignment vertical="top" textRotation="0" wrapText="1" indent="0" justifyLastLine="0" shrinkToFit="0" readingOrder="0"/>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rgb="FF000000"/>
          <bgColor auto="1"/>
        </patternFill>
      </fill>
      <alignment horizontal="center" vertical="bottom" textRotation="0" wrapText="1" indent="0" justifyLastLine="0" shrinkToFit="0" readingOrder="0"/>
    </dxf>
    <dxf>
      <font>
        <b/>
        <i val="0"/>
        <strike val="0"/>
        <condense val="0"/>
        <extend val="0"/>
        <outline val="0"/>
        <shadow val="0"/>
        <u val="none"/>
        <vertAlign val="baseline"/>
        <sz val="11"/>
        <color theme="0"/>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rgb="FF000000"/>
          <bgColor auto="1"/>
        </patternFill>
      </fill>
      <alignment horizontal="left" vertical="top" textRotation="0" wrapText="1" indent="0" justifyLastLine="0" shrinkToFit="0" readingOrder="0"/>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right style="hair">
          <color auto="1"/>
        </right>
        <top style="hair">
          <color auto="1"/>
        </top>
        <bottom style="hair">
          <color auto="1"/>
        </bottom>
        <vertical/>
        <horizontal/>
      </border>
    </dxf>
    <dxf>
      <border outline="0">
        <top style="hair">
          <color auto="1"/>
        </top>
      </border>
    </dxf>
    <dxf>
      <border outline="0">
        <left style="thin">
          <color auto="1"/>
        </left>
        <right style="thin">
          <color auto="1"/>
        </right>
        <top style="thin">
          <color auto="1"/>
        </top>
        <bottom style="thin">
          <color auto="1"/>
        </bottom>
      </border>
    </dxf>
    <dxf>
      <font>
        <strike val="0"/>
        <outline val="0"/>
        <shadow val="0"/>
        <u val="none"/>
        <vertAlign val="baseline"/>
        <sz val="11"/>
        <color theme="1"/>
        <name val="EB Garamond"/>
        <scheme val="none"/>
      </font>
      <fill>
        <patternFill patternType="none">
          <fgColor indexed="64"/>
          <bgColor auto="1"/>
        </patternFill>
      </fill>
      <alignment vertical="top" textRotation="0" wrapText="1" indent="0" justifyLastLine="0" shrinkToFit="0" readingOrder="0"/>
    </dxf>
    <dxf>
      <border outline="0">
        <bottom style="hair">
          <color auto="1"/>
        </bottom>
      </border>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fill>
        <patternFill patternType="none">
          <fgColor rgb="FF000000"/>
          <bgColor auto="1"/>
        </patternFill>
      </fill>
      <alignment horizontal="center" vertical="bottom" textRotation="0" wrapText="1" indent="0" justifyLastLine="0" shrinkToFit="0" readingOrder="0"/>
    </dxf>
    <dxf>
      <font>
        <b/>
        <i val="0"/>
        <strike val="0"/>
        <condense val="0"/>
        <extend val="0"/>
        <outline val="0"/>
        <shadow val="0"/>
        <u val="none"/>
        <vertAlign val="baseline"/>
        <sz val="11"/>
        <color theme="0"/>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rgb="FF000000"/>
          <bgColor auto="1"/>
        </patternFill>
      </fill>
      <alignment horizontal="center" vertical="top" textRotation="0" wrapText="1" indent="0" justifyLastLine="0" shrinkToFit="0" readingOrder="0"/>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1"/>
        <color theme="0"/>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general" vertical="top" textRotation="0" wrapText="1" indent="0" justifyLastLine="0" shrinkToFit="0" readingOrder="0"/>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1" indent="0" justifyLastLine="0" shrinkToFit="0" readingOrder="0"/>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1"/>
        <color theme="1"/>
        <name val="EB Garamond"/>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right style="hair">
          <color auto="1"/>
        </right>
        <top style="hair">
          <color auto="1"/>
        </top>
        <bottom style="hair">
          <color auto="1"/>
        </bottom>
      </border>
    </dxf>
    <dxf>
      <border outline="0">
        <top style="hair">
          <color auto="1"/>
        </top>
      </border>
    </dxf>
    <dxf>
      <border outline="0">
        <left style="thin">
          <color auto="1"/>
        </left>
        <right style="thin">
          <color auto="1"/>
        </right>
        <top style="thin">
          <color auto="1"/>
        </top>
        <bottom style="thin">
          <color auto="1"/>
        </bottom>
      </border>
    </dxf>
    <dxf>
      <font>
        <strike val="0"/>
        <outline val="0"/>
        <shadow val="0"/>
        <u val="none"/>
        <vertAlign val="baseline"/>
        <sz val="11"/>
        <color theme="1"/>
        <name val="EB Garamond"/>
        <scheme val="none"/>
      </font>
      <fill>
        <patternFill patternType="none">
          <fgColor indexed="64"/>
          <bgColor auto="1"/>
        </patternFill>
      </fill>
      <alignment vertical="top" textRotation="0" wrapText="1" indent="0" justifyLastLine="0" shrinkToFit="0" readingOrder="0"/>
    </dxf>
    <dxf>
      <border outline="0">
        <bottom style="hair">
          <color auto="1"/>
        </bottom>
      </border>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border outline="0">
        <left style="thin">
          <color auto="1"/>
        </left>
        <right style="thin">
          <color auto="1"/>
        </right>
        <top style="thin">
          <color indexed="64"/>
        </top>
        <bottom style="thin">
          <color auto="1"/>
        </bottom>
      </border>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indent="0" justifyLastLine="0" shrinkToFit="0" readingOrder="0"/>
    </dxf>
    <dxf>
      <font>
        <b/>
        <i val="0"/>
        <strike val="0"/>
        <condense val="0"/>
        <extend val="0"/>
        <outline val="0"/>
        <shadow val="0"/>
        <u val="none"/>
        <vertAlign val="baseline"/>
        <sz val="11"/>
        <color rgb="FF000000"/>
        <name val="EB Garamond"/>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rgb="FF000000"/>
        <name val="EB Garamond"/>
        <scheme val="none"/>
      </font>
      <numFmt numFmtId="0" formatCode="General"/>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EB Garamond"/>
        <scheme val="none"/>
      </font>
      <numFmt numFmtId="0" formatCode="General"/>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numFmt numFmtId="0" formatCode="General"/>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solid">
          <fgColor indexed="64"/>
          <bgColor theme="0"/>
        </patternFill>
      </fill>
      <alignment horizontal="general" vertical="top" textRotation="0" wrapText="1" indent="0" justifyLastLine="0" shrinkToFit="0" readingOrder="0"/>
    </dxf>
    <dxf>
      <border outline="0">
        <right style="thin">
          <color auto="1"/>
        </right>
      </border>
    </dxf>
    <dxf>
      <font>
        <b val="0"/>
        <i val="0"/>
        <strike val="0"/>
        <condense val="0"/>
        <extend val="0"/>
        <outline val="0"/>
        <shadow val="0"/>
        <u val="none"/>
        <vertAlign val="baseline"/>
        <sz val="11"/>
        <color rgb="FF000000"/>
        <name val="EB Garamond"/>
        <scheme val="none"/>
      </font>
      <fill>
        <patternFill patternType="solid">
          <fgColor indexed="64"/>
          <bgColor theme="0"/>
        </patternFill>
      </fill>
      <alignment horizontal="left" vertical="top" textRotation="0" wrapText="1" indent="0" justifyLastLine="0" shrinkToFit="0" readingOrder="0"/>
    </dxf>
    <dxf>
      <font>
        <b/>
        <i val="0"/>
        <strike val="0"/>
        <condense val="0"/>
        <extend val="0"/>
        <outline val="0"/>
        <shadow val="0"/>
        <u val="none"/>
        <vertAlign val="baseline"/>
        <sz val="11"/>
        <color theme="0"/>
        <name val="EB Garamond"/>
        <scheme val="none"/>
      </font>
      <fill>
        <patternFill patternType="solid">
          <fgColor indexed="64"/>
          <bgColor theme="1" tint="0.499984740745262"/>
        </patternFill>
      </fill>
      <alignment horizontal="center" vertical="top"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0.5"/>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5"/>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EB Garamond"/>
        <scheme val="none"/>
      </font>
      <fill>
        <patternFill patternType="none">
          <fgColor indexed="64"/>
          <bgColor auto="1"/>
        </patternFill>
      </fill>
      <alignment horizontal="left" vertical="top" textRotation="0" wrapText="1" indent="0" justifyLastLine="0" shrinkToFit="0" readingOrder="0"/>
    </dxf>
    <dxf>
      <border outline="0">
        <right style="thin">
          <color auto="1"/>
        </right>
      </border>
    </dxf>
    <dxf>
      <font>
        <b val="0"/>
        <i val="0"/>
        <strike val="0"/>
        <condense val="0"/>
        <extend val="0"/>
        <outline val="0"/>
        <shadow val="0"/>
        <u val="none"/>
        <vertAlign val="baseline"/>
        <sz val="11"/>
        <color rgb="FF000000"/>
        <name val="EB Garamond"/>
        <scheme val="none"/>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1"/>
        <color theme="0"/>
        <name val="Times New Roman"/>
        <family val="1"/>
        <scheme val="none"/>
      </font>
      <fill>
        <patternFill patternType="solid">
          <fgColor indexed="64"/>
          <bgColor theme="1" tint="0.499984740745262"/>
        </patternFill>
      </fill>
      <alignment horizontal="center" vertical="top" textRotation="0" wrapText="1" indent="0" justifyLastLine="0" shrinkToFit="0" readingOrder="0"/>
      <border diagonalUp="0" diagonalDown="0" outline="0">
        <left style="hair">
          <color auto="1"/>
        </left>
        <right style="hair">
          <color auto="1"/>
        </right>
        <top/>
        <bottom/>
      </border>
    </dxf>
    <dxf>
      <font>
        <strike val="0"/>
        <outline val="0"/>
        <shadow val="0"/>
        <u val="none"/>
        <vertAlign val="baseline"/>
        <sz val="11"/>
        <color theme="1" tint="4.9989318521683403E-2"/>
        <name val="EB Garamond"/>
        <scheme val="none"/>
      </font>
      <fill>
        <patternFill patternType="none">
          <fgColor indexed="64"/>
          <bgColor auto="1"/>
        </patternFill>
      </fill>
      <alignment vertical="top" textRotation="0" wrapText="1" indent="0" justifyLastLine="0" shrinkToFit="0" readingOrder="0"/>
    </dxf>
    <dxf>
      <font>
        <strike val="0"/>
        <outline val="0"/>
        <shadow val="0"/>
        <u val="none"/>
        <vertAlign val="baseline"/>
        <sz val="11"/>
        <color theme="1" tint="4.9989318521683403E-2"/>
        <name val="EB Garamond"/>
        <scheme val="none"/>
      </font>
      <fill>
        <patternFill patternType="none">
          <fgColor indexed="64"/>
          <bgColor auto="1"/>
        </patternFill>
      </fill>
      <alignmen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numFmt numFmtId="2" formatCode="0.0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numFmt numFmtId="164" formatCode="[$-409]d\-mmm\-yyyy;@"/>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theme="1" tint="4.9989318521683403E-2"/>
        <name val="EB Garamond"/>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tint="4.9989318521683403E-2"/>
        <name val="EB Garamond"/>
        <scheme val="none"/>
      </font>
      <numFmt numFmtId="30" formatCode="@"/>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color theme="1" tint="4.9989318521683403E-2"/>
        <name val="EB Garamond"/>
        <scheme val="none"/>
      </font>
      <fill>
        <patternFill patternType="none">
          <fgColor indexed="64"/>
          <bgColor auto="1"/>
        </patternFill>
      </fill>
      <alignment vertical="top" textRotation="0" wrapText="1" indent="0" justifyLastLine="0" shrinkToFit="0" readingOrder="0"/>
    </dxf>
    <dxf>
      <font>
        <b/>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tint="4.9989318521683403E-2"/>
        <name val="Times New Roman"/>
        <family val="1"/>
        <scheme val="none"/>
      </font>
      <numFmt numFmtId="2" formatCode="0.00"/>
      <fill>
        <patternFill patternType="none">
          <fgColor indexed="64"/>
          <bgColor auto="1"/>
        </patternFill>
      </fill>
      <alignment horizontal="left" vertical="top" textRotation="0" wrapText="1" indent="0" justifyLastLine="0" shrinkToFit="0" readingOrder="0"/>
      <border diagonalUp="0" diagonalDown="0" outline="0">
        <left style="hair">
          <color auto="1"/>
        </left>
        <right/>
        <top/>
        <bottom/>
      </border>
    </dxf>
    <dxf>
      <font>
        <b val="0"/>
        <i val="0"/>
        <strike val="0"/>
        <condense val="0"/>
        <extend val="0"/>
        <outline val="0"/>
        <shadow val="0"/>
        <u val="none"/>
        <vertAlign val="baseline"/>
        <sz val="11"/>
        <color theme="1" tint="4.9989318521683403E-2"/>
        <name val="Times New Roman"/>
        <family val="1"/>
        <scheme val="none"/>
      </font>
      <numFmt numFmtId="164" formatCode="[$-409]d\-mmm\-yyyy;@"/>
      <fill>
        <patternFill patternType="none">
          <fgColor indexed="64"/>
          <bgColor auto="1"/>
        </patternFill>
      </fill>
      <alignment horizontal="right" vertical="top"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left" vertical="top"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tint="4.9989318521683403E-2"/>
        <name val="Times New Roman"/>
        <family val="1"/>
        <scheme val="none"/>
      </font>
      <alignment horizontal="left" vertical="top" textRotation="0" wrapText="1" indent="0" justifyLastLine="0" shrinkToFit="0" readingOrder="0"/>
      <border diagonalUp="0" diagonalDown="0" outline="0">
        <left/>
        <right style="hair">
          <color auto="1"/>
        </right>
        <top/>
        <bottom/>
      </border>
    </dxf>
    <dxf>
      <font>
        <b val="0"/>
        <i val="0"/>
        <strike val="0"/>
        <condense val="0"/>
        <extend val="0"/>
        <outline val="0"/>
        <shadow val="0"/>
        <u val="none"/>
        <vertAlign val="baseline"/>
        <sz val="11"/>
        <color theme="1" tint="4.9989318521683403E-2"/>
        <name val="Times New Roman"/>
        <family val="1"/>
        <scheme val="none"/>
      </font>
      <alignment horizontal="left" vertical="top" textRotation="0" wrapText="1" indent="0" justifyLastLine="0" shrinkToFit="0" readingOrder="0"/>
      <border diagonalUp="0" diagonalDown="0" outline="0">
        <left/>
        <right style="hair">
          <color auto="1"/>
        </right>
        <top/>
        <bottom/>
      </border>
    </dxf>
    <dxf>
      <font>
        <b val="0"/>
        <i val="0"/>
        <strike val="0"/>
        <condense val="0"/>
        <extend val="0"/>
        <outline val="0"/>
        <shadow val="0"/>
        <u val="none"/>
        <vertAlign val="baseline"/>
        <sz val="11"/>
        <color theme="1" tint="4.9989318521683403E-2"/>
        <name val="Times New Roman"/>
        <family val="1"/>
        <scheme val="none"/>
      </font>
      <fill>
        <patternFill patternType="none">
          <fgColor indexed="64"/>
          <bgColor auto="1"/>
        </patternFill>
      </fill>
      <alignment horizontal="left" vertical="top" textRotation="0" wrapText="1" indent="0" justifyLastLine="0" shrinkToFit="0" readingOrder="0"/>
      <border diagonalUp="0" diagonalDown="0" outline="0">
        <left/>
        <right style="hair">
          <color auto="1"/>
        </right>
        <top/>
        <bottom/>
      </border>
    </dxf>
    <dxf>
      <font>
        <strike val="0"/>
        <outline val="0"/>
        <shadow val="0"/>
        <u val="none"/>
        <vertAlign val="baseline"/>
        <sz val="11"/>
        <color theme="1" tint="4.9989318521683403E-2"/>
        <name val="Times New Roman"/>
        <family val="1"/>
        <scheme val="none"/>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center" vertical="bottom" textRotation="0" wrapText="1" indent="0" justifyLastLine="0" shrinkToFit="0" readingOrder="0"/>
      <border diagonalUp="0" diagonalDown="0" outline="0">
        <left style="hair">
          <color auto="1"/>
        </left>
        <right style="hair">
          <color auto="1"/>
        </right>
        <top/>
        <bottom/>
      </border>
    </dxf>
    <dxf>
      <font>
        <strike val="0"/>
        <outline val="0"/>
        <shadow val="0"/>
        <u val="none"/>
        <vertAlign val="baseline"/>
        <sz val="11"/>
        <color theme="1" tint="4.9989318521683403E-2"/>
        <name val="EB Garamond"/>
        <scheme val="none"/>
      </font>
      <fill>
        <patternFill patternType="none">
          <fgColor indexed="64"/>
          <bgColor auto="1"/>
        </patternFill>
      </fill>
      <alignment horizontal="general" vertical="bottom" textRotation="0" wrapText="1" indent="0" justifyLastLine="0" shrinkToFit="0" readingOrder="0"/>
      <border diagonalUp="0" diagonalDown="0" outline="0">
        <left style="hair">
          <color auto="1"/>
        </left>
        <right/>
        <top/>
        <bottom/>
      </border>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bottom" textRotation="0" wrapText="1"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tint="4.9989318521683403E-2"/>
        <name val="EB Garamond"/>
        <scheme val="none"/>
      </font>
      <fill>
        <patternFill patternType="none">
          <fgColor indexed="64"/>
          <bgColor indexed="65"/>
        </patternFill>
      </fill>
      <alignment horizontal="general" vertical="bottom" textRotation="0" wrapText="1" indent="0" justifyLastLine="0" shrinkToFit="0" readingOrder="0"/>
      <border diagonalUp="0" diagonalDown="0" outline="0">
        <left/>
        <right style="hair">
          <color auto="1"/>
        </right>
        <top/>
        <bottom/>
      </border>
    </dxf>
    <dxf>
      <border diagonalUp="0" diagonalDown="0">
        <left/>
        <right/>
        <top/>
        <bottom/>
      </border>
    </dxf>
    <dxf>
      <font>
        <b val="0"/>
        <i val="0"/>
        <strike val="0"/>
        <condense val="0"/>
        <extend val="0"/>
        <outline val="0"/>
        <shadow val="0"/>
        <u val="none"/>
        <vertAlign val="baseline"/>
        <sz val="11"/>
        <color theme="1" tint="4.9989318521683403E-2"/>
        <name val="EB Garamond"/>
        <scheme val="none"/>
      </font>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EB Garamond"/>
        <scheme val="none"/>
      </font>
      <fill>
        <patternFill patternType="none">
          <fgColor indexed="64"/>
          <bgColor auto="1"/>
        </patternFill>
      </fill>
      <alignment horizontal="center" vertical="bottom" textRotation="0" wrapText="0"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theme="1"/>
        <name val="EB Garamond"/>
        <scheme val="none"/>
      </font>
      <numFmt numFmtId="30" formatCode="@"/>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theme="1"/>
        <name val="EB Garamond"/>
        <scheme val="none"/>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theme="1"/>
        <name val="EB Garamond"/>
        <scheme val="none"/>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1"/>
        </top>
        <bottom/>
      </border>
    </dxf>
    <dxf>
      <font>
        <b/>
        <i val="0"/>
        <strike val="0"/>
        <condense val="0"/>
        <extend val="0"/>
        <outline val="0"/>
        <shadow val="0"/>
        <u val="none"/>
        <vertAlign val="baseline"/>
        <sz val="11"/>
        <color theme="0"/>
        <name val="EB Garamond"/>
        <scheme val="none"/>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1"/>
        </top>
        <bottom/>
      </border>
    </dxf>
    <dxf>
      <border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EB Garamond"/>
        <scheme val="none"/>
      </font>
      <fill>
        <patternFill patternType="solid">
          <fgColor indexed="64"/>
          <bgColor theme="7" tint="0.79998168889431442"/>
        </patternFill>
      </fill>
      <alignment horizontal="left" vertical="top" textRotation="0" wrapText="1" indent="0" justifyLastLine="0" shrinkToFit="0" readingOrder="0"/>
    </dxf>
    <dxf>
      <font>
        <b/>
        <i val="0"/>
        <strike val="0"/>
        <condense val="0"/>
        <extend val="0"/>
        <outline val="0"/>
        <shadow val="0"/>
        <u val="none"/>
        <vertAlign val="baseline"/>
        <sz val="11"/>
        <color theme="0"/>
        <name val="Times New Roman"/>
        <family val="1"/>
        <scheme val="none"/>
      </font>
      <fill>
        <patternFill patternType="solid">
          <fgColor theme="1"/>
          <bgColor theme="1"/>
        </patternFill>
      </fill>
      <alignment horizontal="center" vertical="bottom" textRotation="0" wrapText="0" indent="0" justifyLastLine="0" shrinkToFit="0" readingOrder="0"/>
    </dxf>
    <dxf>
      <font>
        <strike val="0"/>
        <outline val="0"/>
        <shadow val="0"/>
        <u val="none"/>
        <vertAlign val="baseline"/>
        <sz val="11"/>
        <name val="Times New Roman"/>
        <family val="1"/>
        <scheme val="none"/>
      </font>
      <fill>
        <patternFill patternType="none">
          <fgColor indexed="64"/>
          <bgColor auto="1"/>
        </patternFill>
      </fill>
    </dxf>
    <dxf>
      <font>
        <strike val="0"/>
        <outline val="0"/>
        <shadow val="0"/>
        <u val="none"/>
        <vertAlign val="baseline"/>
        <sz val="11"/>
        <name val="Times New Roman"/>
        <family val="1"/>
        <scheme val="none"/>
      </font>
      <fill>
        <patternFill patternType="none">
          <fgColor indexed="64"/>
          <bgColor auto="1"/>
        </patternFill>
      </fill>
    </dxf>
    <dxf>
      <font>
        <strike val="0"/>
        <outline val="0"/>
        <shadow val="0"/>
        <u val="none"/>
        <vertAlign val="baseline"/>
        <sz val="11"/>
        <name val="Times New Roman"/>
        <family val="1"/>
        <scheme val="none"/>
      </font>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name val="Times New Roman"/>
        <family val="1"/>
        <scheme val="none"/>
      </font>
      <fill>
        <patternFill patternType="none">
          <fgColor indexed="64"/>
          <bgColor auto="1"/>
        </patternFill>
      </fill>
    </dxf>
    <dxf>
      <font>
        <strike val="0"/>
        <outline val="0"/>
        <shadow val="0"/>
        <u val="none"/>
        <vertAlign val="baseline"/>
        <sz val="11"/>
        <name val="Times New Roman"/>
        <family val="1"/>
        <scheme val="none"/>
      </font>
      <fill>
        <patternFill patternType="none">
          <fgColor indexed="64"/>
          <bgColor auto="1"/>
        </patternFill>
      </fill>
    </dxf>
    <dxf>
      <font>
        <b/>
        <i val="0"/>
        <strike val="0"/>
        <condense val="0"/>
        <extend val="0"/>
        <outline val="0"/>
        <shadow val="0"/>
        <u val="none"/>
        <vertAlign val="baseline"/>
        <sz val="11"/>
        <color theme="0"/>
        <name val="Times New Roman"/>
        <family val="1"/>
        <scheme val="none"/>
      </font>
      <fill>
        <patternFill patternType="none">
          <fgColor indexed="64"/>
          <bgColor auto="1"/>
        </patternFill>
      </fill>
      <alignment horizontal="center" vertical="bottom" textRotation="0" wrapText="0" indent="0" justifyLastLine="0" shrinkToFit="0" readingOrder="0"/>
      <border diagonalUp="0" diagonalDown="0" outline="0">
        <left style="hair">
          <color auto="1"/>
        </left>
        <right style="hair">
          <color auto="1"/>
        </right>
        <top/>
        <bottom/>
      </border>
    </dxf>
    <dxf>
      <font>
        <b val="0"/>
        <i val="0"/>
        <strike val="0"/>
        <condense val="0"/>
        <extend val="0"/>
        <outline val="0"/>
        <shadow val="0"/>
        <u val="none"/>
        <vertAlign val="baseline"/>
        <sz val="11"/>
        <color rgb="FF000000"/>
        <name val="Times New Roman"/>
        <family val="1"/>
        <scheme val="none"/>
      </font>
      <numFmt numFmtId="0" formatCode="General"/>
      <fill>
        <patternFill patternType="none">
          <fgColor indexed="64"/>
          <bgColor auto="1"/>
        </patternFill>
      </fill>
    </dxf>
    <dxf>
      <font>
        <b val="0"/>
        <i val="0"/>
        <strike val="0"/>
        <condense val="0"/>
        <extend val="0"/>
        <outline val="0"/>
        <shadow val="0"/>
        <u val="none"/>
        <vertAlign val="baseline"/>
        <sz val="11"/>
        <color theme="1"/>
        <name val="Times New Roman"/>
        <family val="1"/>
        <scheme val="none"/>
      </font>
      <numFmt numFmtId="30" formatCode="@"/>
      <fill>
        <patternFill patternType="none">
          <fgColor indexed="64"/>
          <bgColor auto="1"/>
        </patternFill>
      </fill>
      <alignment horizontal="left" vertical="bottom" textRotation="0" wrapText="0" relativeIndent="-1"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sz val="11"/>
        <name val="Times New Roman"/>
        <family val="1"/>
        <scheme val="none"/>
      </font>
      <numFmt numFmtId="0" formatCode="General"/>
      <fill>
        <patternFill patternType="none">
          <fgColor indexed="64"/>
          <bgColor auto="1"/>
        </patternFill>
      </fill>
    </dxf>
    <dxf>
      <font>
        <b val="0"/>
        <i val="0"/>
        <strike val="0"/>
        <condense val="0"/>
        <extend val="0"/>
        <outline val="0"/>
        <shadow val="0"/>
        <u val="none"/>
        <vertAlign val="baseline"/>
        <sz val="11"/>
        <color rgb="FF000000"/>
        <name val="Times New Roman"/>
        <family val="1"/>
        <scheme val="none"/>
      </font>
      <numFmt numFmtId="0" formatCode="General"/>
      <fill>
        <patternFill patternType="none">
          <fgColor indexed="64"/>
          <bgColor auto="1"/>
        </patternFill>
      </fill>
    </dxf>
    <dxf>
      <font>
        <strike val="0"/>
        <outline val="0"/>
        <shadow val="0"/>
        <u val="none"/>
        <vertAlign val="baseline"/>
        <sz val="11"/>
        <name val="Times New Roman"/>
        <family val="1"/>
        <scheme val="none"/>
      </font>
      <fill>
        <patternFill patternType="none">
          <fgColor indexed="64"/>
          <bgColor auto="1"/>
        </patternFill>
      </fill>
      <alignment horizontal="general" vertical="bottom" textRotation="0" wrapText="0" indent="0" justifyLastLine="0" shrinkToFit="0" readingOrder="0"/>
    </dxf>
    <dxf>
      <font>
        <strike val="0"/>
        <outline val="0"/>
        <shadow val="0"/>
        <u val="none"/>
        <vertAlign val="baseline"/>
        <sz val="11"/>
        <name val="Times New Roman"/>
        <family val="1"/>
        <scheme val="none"/>
      </font>
      <fill>
        <patternFill patternType="none">
          <fgColor indexed="64"/>
          <bgColor auto="1"/>
        </patternFill>
      </fill>
    </dxf>
    <dxf>
      <font>
        <strike val="0"/>
        <outline val="0"/>
        <shadow val="0"/>
        <u val="none"/>
        <vertAlign val="baseline"/>
        <sz val="11"/>
        <name val="Times New Roman"/>
        <family val="1"/>
        <scheme val="none"/>
      </font>
      <fill>
        <patternFill patternType="none">
          <fgColor indexed="64"/>
          <bgColor auto="1"/>
        </patternFill>
      </fill>
    </dxf>
    <dxf>
      <font>
        <strike val="0"/>
        <outline val="0"/>
        <shadow val="0"/>
        <u val="none"/>
        <vertAlign val="baseline"/>
        <sz val="11"/>
        <name val="Times New Roman"/>
        <family val="1"/>
        <scheme val="none"/>
      </font>
      <fill>
        <patternFill patternType="none">
          <fgColor indexed="64"/>
          <bgColor auto="1"/>
        </patternFill>
      </fill>
    </dxf>
  </dxfs>
  <tableStyles count="0" defaultTableStyle="TableStyleMedium2" defaultPivotStyle="PivotStyleLight16"/>
  <colors>
    <mruColors>
      <color rgb="FFF1C3F0"/>
      <color rgb="FFE97FE9"/>
      <color rgb="FF808080"/>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AFA4541-84AC-474F-A2C4-3D40B29FDA7B}" name="Figures" displayName="Figures" ref="F1:M43" totalsRowShown="0" headerRowDxfId="620" dataDxfId="619">
  <autoFilter ref="F1:M43" xr:uid="{5AFA4541-84AC-474F-A2C4-3D40B29FDA7B}"/>
  <tableColumns count="8">
    <tableColumn id="1" xr3:uid="{3749C2D9-DB9B-584B-8A07-FED123945C72}" name="Chapter" dataDxfId="618"/>
    <tableColumn id="7" xr3:uid="{40272B6F-B0A9-7040-893B-FD964E6561AA}" name="Section" dataDxfId="617"/>
    <tableColumn id="2" xr3:uid="{8D6F1AFF-A5FD-B844-BEF9-C60955F6A4E9}" name="Title" dataDxfId="616">
      <calculatedColumnFormula array="1">_xlfn.XLOOKUP(1,(Figures[[#This Row],[Chapter]]=ContentTable[Chapter])*(Figures[[#This Row],[Section]]=ContentTable[Section]),ContentTable[Title],"")</calculatedColumnFormula>
    </tableColumn>
    <tableColumn id="4" xr3:uid="{3FDE9073-E074-4D4C-BE83-866BEB6B493E}" name="Step" dataDxfId="615">
      <calculatedColumnFormula array="1">_xlfn.XLOOKUP(1,(Figures[[#This Row],[Chapter]]=ContentTable[Chapter])*(Figures[[#This Row],[Section]]=ContentTable[Section]),ContentTable[Section (Step)],"")</calculatedColumnFormula>
    </tableColumn>
    <tableColumn id="10" xr3:uid="{EB1C0C06-0557-5348-84A3-03A88058ED08}" name="#" dataDxfId="614"/>
    <tableColumn id="8" xr3:uid="{68D7F84A-5F8A-8C42-A7D0-AE24B0EA474E}" name="Type" dataDxfId="613"/>
    <tableColumn id="9" xr3:uid="{D72C7018-22A3-AD4A-A59E-AE5E17C3F410}" name="Name" dataDxfId="612"/>
    <tableColumn id="3" xr3:uid="{49DC2291-3C19-3747-AB8F-3FB9CDD77E8B}" name="Combination" dataDxfId="611">
      <calculatedColumnFormula>Figures[[#This Row],[Type]]&amp;"-"&amp;Figures[[#This Row],['#]]&amp;". "&amp;Figures[[#This Row],[Name]]</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190F159-54E3-FE40-9FDF-E47CFF5C64F4}" name="ContentTable" displayName="ContentTable" ref="A1:D60" totalsRowShown="0" headerRowDxfId="610" dataDxfId="609">
  <autoFilter ref="A1:D60" xr:uid="{9190F159-54E3-FE40-9FDF-E47CFF5C64F4}"/>
  <tableColumns count="4">
    <tableColumn id="1" xr3:uid="{EC9D033B-3EDA-664D-99A0-47A1883AB93E}" name="Chapter" dataDxfId="608"/>
    <tableColumn id="2" xr3:uid="{123C2E87-15FF-FE46-A48A-60EBE5934175}" name="Section" dataDxfId="607"/>
    <tableColumn id="3" xr3:uid="{671CA324-5049-9846-B4D0-D0C654848F23}" name="Title" dataDxfId="606"/>
    <tableColumn id="4" xr3:uid="{47B593BB-88D3-F14E-A96C-DA64FF7596A2}" name="Section (Step)" dataDxfId="605"/>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ED8E1863-BB76-D545-9229-B978CFCCFBA3}" name="Table32" displayName="Table32" ref="A2:D24" totalsRowShown="0" headerRowDxfId="604" dataDxfId="603" tableBorderDxfId="602">
  <autoFilter ref="A2:D24" xr:uid="{ED8E1863-BB76-D545-9229-B978CFCCFBA3}"/>
  <tableColumns count="4">
    <tableColumn id="1" xr3:uid="{9E75C3A2-04C3-6A46-8123-22E548F7DC45}" name="CS" dataDxfId="601"/>
    <tableColumn id="2" xr3:uid="{D3057673-3175-9145-B82C-5DC5BFEC1B4F}" name="Item" dataDxfId="600"/>
    <tableColumn id="3" xr3:uid="{47B7D527-F3DE-5F4A-BF12-B49EA7E8F01F}" name="Definition" dataDxfId="599"/>
    <tableColumn id="8" xr3:uid="{5C669821-8D86-6449-B452-5E74DDD468C3}" name="Armored Military Vehicle Manufacturing" dataDxfId="598"/>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A2694A4-5721-A444-8944-33349BAB4B35}" name="MTL" displayName="MTL" ref="A3:F16" totalsRowShown="0" headerRowDxfId="597" dataDxfId="596" tableBorderDxfId="595">
  <autoFilter ref="A3:F16" xr:uid="{4A2694A4-5721-A444-8944-33349BAB4B35}"/>
  <tableColumns count="6">
    <tableColumn id="1" xr3:uid="{FA73634D-410D-004C-A6E0-1DFF8A7A66E4}" name="Item" dataDxfId="594"/>
    <tableColumn id="2" xr3:uid="{352A2BEA-80D9-F04E-B570-B11A8CFE1955}" name="Description" dataDxfId="593"/>
    <tableColumn id="3" xr3:uid="{E8ECEB0F-E65F-6B4A-A1B6-3FA06E9802F8}" name="Origination (Source) of Item" dataDxfId="592"/>
    <tableColumn id="4" xr3:uid="{6F3892E3-8D0A-D742-A7AF-BD0492A95C33}" name="Category" dataDxfId="591"/>
    <tableColumn id="5" xr3:uid="{CA550FBF-F467-2944-968F-C0E6C73DF108}" name="Type" dataDxfId="590"/>
    <tableColumn id="6" xr3:uid="{C2B79954-5C6C-6045-B1BA-AA516F2EA8BC}" name="ETL" dataDxfId="589"/>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EB9AC37-CE60-B44D-AA67-5674E8501B1E}" name="FAO" displayName="FAO" ref="A3:F22" totalsRowShown="0" headerRowDxfId="588" dataDxfId="587">
  <autoFilter ref="A3:F22" xr:uid="{3EB9AC37-CE60-B44D-AA67-5674E8501B1E}"/>
  <tableColumns count="6">
    <tableColumn id="1" xr3:uid="{2D8E1EAA-9CE1-694C-AADA-D692284734DE}" name="Item" dataDxfId="586"/>
    <tableColumn id="6" xr3:uid="{65340613-72BF-7442-8CB9-FC740A7E5DE0}" name="Description" dataDxfId="585"/>
    <tableColumn id="5" xr3:uid="{CC1BDF2B-C8C0-9D4E-945E-FBF7C765C9AA}" name="Origination (Source) of Item" dataDxfId="584"/>
    <tableColumn id="2" xr3:uid="{82351667-76F6-1840-A085-34D2E9C5A697}" name="Label" dataDxfId="583"/>
    <tableColumn id="3" xr3:uid="{8E3CA891-13CD-6440-9961-C008229C5C32}" name="Date Added" dataDxfId="582"/>
    <tableColumn id="4" xr3:uid="{0D832352-09D8-F043-AE39-829FC17A2522}" name="Date Updated" dataDxfId="581"/>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6C44E96-6178-0C4C-A379-DD7D262C947B}" name="IRL" displayName="IRL" ref="A3:J66" totalsRowShown="0" headerRowDxfId="580" dataDxfId="579">
  <autoFilter ref="A3:J66" xr:uid="{C6C44E96-6178-0C4C-A379-DD7D262C947B}"/>
  <tableColumns count="10">
    <tableColumn id="3" xr3:uid="{9D819B8E-6394-F14D-8298-EBA2AD930E51}" name="Item" dataDxfId="578"/>
    <tableColumn id="1" xr3:uid="{2108D02C-2B14-584A-846F-3043781D34AE}" name="IR Question" dataDxfId="577"/>
    <tableColumn id="2" xr3:uid="{F6660AAF-0FCD-374D-8611-7D802BADF98C}" name="IR Answer" dataDxfId="576"/>
    <tableColumn id="10" xr3:uid="{538978CA-08D3-5347-94EE-4CC2A106BF12}" name="Origination (Source) of Item" dataDxfId="575"/>
    <tableColumn id="9" xr3:uid="{458F4FCB-EACF-9D4C-BEF5-36D933380A3D}" name="IR Category" dataDxfId="574"/>
    <tableColumn id="4" xr3:uid="{5C1A8020-05A1-F947-9854-AF44A1D74675}" name="PIR" dataDxfId="573"/>
    <tableColumn id="5" xr3:uid="{CB46A4CB-CCD6-374F-87B9-B2CA5EF7B141}" name="Date Added" dataDxfId="572"/>
    <tableColumn id="6" xr3:uid="{6A04DAB2-BBE6-CC40-8387-06DD0B2F38CC}" name="Date Updated" dataDxfId="571"/>
    <tableColumn id="7" xr3:uid="{CE3F5941-2442-2A42-BB3C-E6A9FDCFBF02}" name="Date Due" dataDxfId="570"/>
    <tableColumn id="8" xr3:uid="{EAC5A297-8BB5-754C-8193-3184D41ECC56}" name="Prioritization" dataDxfId="569"/>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E92DD87D-3751-3F44-8DB6-193A3C21AFD3}" name="Forces" displayName="Forces" ref="A3:I24" totalsRowShown="0" headerRowDxfId="568" dataDxfId="567" tableBorderDxfId="566">
  <autoFilter ref="A3:I24" xr:uid="{B7724CF3-AAB9-FA40-B5E9-FE3D7567AADD}"/>
  <tableColumns count="9">
    <tableColumn id="1" xr3:uid="{02E731D0-31DC-D94C-B25B-8D7E7C1BC57F}" name="#" dataDxfId="76">
      <calculatedColumnFormula>IF(Forces[[#This Row],[Maco-Environmental Forces]]="","",_xlfn.XLOOKUP(Forces[[#This Row],[Maco-Environmental Forces]],Forces_List[Forces],Forces_List['#]))</calculatedColumnFormula>
    </tableColumn>
    <tableColumn id="3" xr3:uid="{39A2EEDA-8B0E-B845-8D5C-8F03B7078E17}" name="Maco-Environmental Forces" dataDxfId="75"/>
    <tableColumn id="2" xr3:uid="{14D98406-6E08-6C44-A524-A1132BBD11FC}" name="Var. #" dataDxfId="73"/>
    <tableColumn id="4" xr3:uid="{344B744E-5AB6-F34F-A5D1-5AE23CF90949}" name="Variable Short Name" dataDxfId="74"/>
    <tableColumn id="5" xr3:uid="{2CBAEF1B-2686-1C46-AA9C-8BB5698E9BB3}" name="Variable Definition" dataDxfId="565"/>
    <tableColumn id="6" xr3:uid="{7215B864-9DCC-1241-9822-F9DAB681DB7A}" name="Current State Description" dataDxfId="564"/>
    <tableColumn id="7" xr3:uid="{F59019EB-516E-974A-A5E5-4C607F40AC30}" name="Affect on SE" dataDxfId="563"/>
    <tableColumn id="8" xr3:uid="{A22736F7-D5B8-604D-8297-6CCF16263881}" name="Affect on OA" dataDxfId="562"/>
    <tableColumn id="9" xr3:uid="{7B91554A-4717-A241-A3B6-485EF07003C3}" name="Affect on Org" dataDxfId="561"/>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C4AA25C5-66DA-C047-B488-B768B4F5774B}" name="Drivers" displayName="Drivers" ref="A3:Q24" totalsRowShown="0" headerRowDxfId="560" dataDxfId="559" tableBorderDxfId="558">
  <autoFilter ref="A3:Q24" xr:uid="{B7724CF3-AAB9-FA40-B5E9-FE3D7567AADD}"/>
  <tableColumns count="17">
    <tableColumn id="2" xr3:uid="{9F1177EB-E7EB-544F-82B8-29A516EE0231}" name="#" dataDxfId="72"/>
    <tableColumn id="4" xr3:uid="{6C86B57C-6A44-184F-AA6B-372173167630}" name="Var. #" dataDxfId="70"/>
    <tableColumn id="3" xr3:uid="{11C05C8F-AB8C-FF46-9F89-1F7FD70A5582}" name="Maco-Environmental Forces" dataDxfId="71">
      <calculatedColumnFormula>LOOKUP(Drivers[[#This Row],['#]],Forces_List['#],Forces_List[Forces])</calculatedColumnFormula>
    </tableColumn>
    <tableColumn id="6" xr3:uid="{506523FC-D906-4245-A76A-88C5AF4EBF14}" name="Variable Short Name" dataDxfId="69">
      <calculatedColumnFormula array="1">INDEX(Forces[Variable Short Name],MATCH(1,(Forces['#]=A4)*(Forces[Var. '#]=B4),0))</calculatedColumnFormula>
    </tableColumn>
    <tableColumn id="20" xr3:uid="{19958AD2-AAD3-2040-842C-DBDCD51D5906}" name="Driv #" dataDxfId="557"/>
    <tableColumn id="1" xr3:uid="{2801774E-9F56-0D46-88B7-7B9C7B8196A9}" name="Driver Short Name" dataDxfId="556"/>
    <tableColumn id="10" xr3:uid="{7C57816B-E1F0-C747-A714-44440C70F64B}" name="Driver Description" dataDxfId="555"/>
    <tableColumn id="11" xr3:uid="{4BDC7146-8CB9-3940-B691-676DA548494C}" name="Direction it will Push SE" dataDxfId="554"/>
    <tableColumn id="12" xr3:uid="{27E0CE5A-8FD0-9941-81E0-7AC598C801D8}" name="Impact on SE" dataDxfId="553"/>
    <tableColumn id="13" xr3:uid="{D86E2E58-0B9D-CF44-9C7D-0BFE448B246E}" name="Impact on OA and Org" dataDxfId="552"/>
    <tableColumn id="14" xr3:uid="{525EC668-5AEB-7148-89F7-9E699DA9AB6A}" name="Potential Organizational Influence on Driver" dataDxfId="551"/>
    <tableColumn id="15" xr3:uid="{68A7DFA0-B9A8-9C45-A278-4CE7E1D3BFBF}" name="SE Certainty" dataDxfId="550"/>
    <tableColumn id="16" xr3:uid="{F425514B-1793-2444-AE98-6C6895668689}" name="OA Impact" dataDxfId="549"/>
    <tableColumn id="17" xr3:uid="{658F4D0A-D0F4-5840-A2E9-7C1D6C2D5CDA}" name="Nature" dataDxfId="548"/>
    <tableColumn id="18" xr3:uid="{E78A767B-8F17-D240-815A-F65EC7B9757B}" name="Driver Classification" dataDxfId="547">
      <calculatedColumnFormula array="1">_xlfn.XLOOKUP(Drivers[[#This Row],[SE Certainty]],Driver_Classifcation2[[#Headers],[Possible]:[Pre-Determined]],_xlfn.XLOOKUP(Drivers[[#This Row],[OA Impact]],Driver_Classifcation2[Matrix],Driver_Classifcation2[[Possible]:[Pre-Determined]]))</calculatedColumnFormula>
    </tableColumn>
    <tableColumn id="19" xr3:uid="{E165221D-5C57-DC42-B85C-F1C9064B8637}" name="Key Driver" dataDxfId="546">
      <calculatedColumnFormula>_xlfn.XLOOKUP(Drivers[[#This Row],[Driver Classification]],Driver_Classification[Driver Classifcation],Driver_Classification[Key Driver])</calculatedColumnFormula>
    </tableColumn>
    <tableColumn id="5" xr3:uid="{43AEECE8-879F-4049-B950-7A0A398E1B89}" name="Summary" dataDxfId="545">
      <calculatedColumnFormula>Drivers[[#This Row],[Driver Short Name]]&amp;" ("&amp;Drivers[[#This Row],[Maco-Environmental Forces]]&amp;"): "&amp;Drivers[[#This Row],[Driver Description]]&amp;" ("&amp;Drivers[[#This Row],[SE Certainty]]&amp;" x "&amp;Drivers[[#This Row],[OA Impact]]&amp;" x "&amp;Drivers[[#This Row],[Nature]]&amp;" = "&amp;Drivers[[#This Row],[Driver Classification]]&amp;")"</calculatedColumnFormula>
    </tableColumn>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45117156-DAA8-5B4C-A326-1BDEF60D314F}" name="Trends" displayName="Trends" ref="A3:L13" totalsRowShown="0" headerRowDxfId="544" dataDxfId="543" tableBorderDxfId="542">
  <autoFilter ref="A3:L13" xr:uid="{45117156-DAA8-5B4C-A326-1BDEF60D314F}"/>
  <sortState xmlns:xlrd2="http://schemas.microsoft.com/office/spreadsheetml/2017/richdata2" ref="A4:K13">
    <sortCondition ref="A3:A13"/>
  </sortState>
  <tableColumns count="12">
    <tableColumn id="2" xr3:uid="{068BDBA0-35B2-AF47-89BB-93A82D65BD0F}" name="#" dataDxfId="68"/>
    <tableColumn id="4" xr3:uid="{6F99C7CF-3545-024F-83B3-8C3D3C59B209}" name="Factors" dataDxfId="67"/>
    <tableColumn id="6" xr3:uid="{60CC5EB5-A6B9-0843-BA09-614ADD239CF7}" name="Trend Type" dataDxfId="66"/>
    <tableColumn id="1" xr3:uid="{8C73EF0E-1F58-BD4F-B550-1D18E67F9350}" name="Trend Name" dataDxfId="65"/>
    <tableColumn id="5" xr3:uid="{174416BC-32AA-874E-8DEE-3F83D02B0266}" name="Description" dataDxfId="64"/>
    <tableColumn id="7" xr3:uid="{7DC6B0C8-1370-9D43-A753-10CE05FB98A8}" name="Time Frame" dataDxfId="63"/>
    <tableColumn id="8" xr3:uid="{7ADAC396-7D2B-8B49-83C9-FCCB839879DA}" name="Reach" dataDxfId="62"/>
    <tableColumn id="9" xr3:uid="{C59D4522-FDBC-5740-A14E-083A103AD2DD}" name="Impact" dataDxfId="61"/>
    <tableColumn id="10" xr3:uid="{83744755-E24A-BB4C-8F33-6204AAF12B73}" name="Likelihood" dataDxfId="60"/>
    <tableColumn id="11" xr3:uid="{8C3EFC63-0CC3-1B47-8C58-E555F9E1D313}" name="Total" dataDxfId="59">
      <calculatedColumnFormula>IF(Trends[[#This Row],[Factors]]="","",SUM(F4:I4))</calculatedColumnFormula>
    </tableColumn>
    <tableColumn id="3" xr3:uid="{C4AD3178-F77D-EC4F-AB3A-18A385D0EF6D}" name="Action" dataDxfId="58">
      <calculatedColumnFormula array="1">IF(Trends[[#This Row],[Factors]]="","",_xlfn.IFS(Trends[[#This Row],[Total]]&lt;Lists!AI$4,Lists!AJ$5,Trends[[#This Row],[Total]]&gt;=Lists!AI$3,Lists!AJ$3,AND(Trends[[#This Row],[Total]]&lt;Lists!AI$3,Trends[[#This Row],[Total]]&gt;=Lists!AI$4),Lists!AJ$4))</calculatedColumnFormula>
    </tableColumn>
    <tableColumn id="12" xr3:uid="{3198EBD2-111F-754B-9E34-81E99513D0A5}" name="Summary" dataDxfId="57">
      <calculatedColumnFormula>Trends[[#This Row],['#]]&amp;". "&amp;Trends[[#This Row],[Trend Name]]&amp;": "&amp;Trends[[#This Row],[Description]]&amp;" ("&amp;Trends[[#This Row],[Trend Type]]&amp;" factors: "&amp;Trends[[#This Row],[Factors]]&amp;") (Total: "&amp;Trends[[#This Row],[Total]]&amp;"--&gt;"&amp;Trends[[#This Row],[Action]]&amp;")"</calculatedColumnFormula>
    </tableColumn>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3A421A22-0A1A-0C4B-AFAC-03F949BDF143}" name="FutureTrends" displayName="FutureTrends" ref="B11:E18" totalsRowShown="0" headerRowDxfId="541" dataDxfId="539" headerRowBorderDxfId="540" tableBorderDxfId="538" totalsRowBorderDxfId="537">
  <autoFilter ref="B11:E18" xr:uid="{3A421A22-0A1A-0C4B-AFAC-03F949BDF143}"/>
  <tableColumns count="4">
    <tableColumn id="1" xr3:uid="{222A2211-2DD2-574A-9484-4F3330118E3E}" name="#" dataDxfId="536"/>
    <tableColumn id="2" xr3:uid="{480AC8D4-EBE6-9349-BE82-CD2A98B581BE}" name="Trend Name" dataDxfId="535">
      <calculatedColumnFormula>IF(FutureTrends[[#This Row],['#]]="","",_xlfn.XLOOKUP(FutureTrends[[#This Row],['#]],Trends['#],Trends[Trend Name]))</calculatedColumnFormula>
    </tableColumn>
    <tableColumn id="4" xr3:uid="{384E54E4-8159-8647-A8BD-BBBB3B7E6713}" name="Description" dataDxfId="534">
      <calculatedColumnFormula>IF(FutureTrends[[#This Row],['#]]="","",_xlfn.XLOOKUP(FutureTrends[[#This Row],['#]],Trends['#],Trends[Description]))</calculatedColumnFormula>
    </tableColumn>
    <tableColumn id="3" xr3:uid="{1DF3FB0B-0D03-B847-8C97-5242CB1D9A49}" name="Trend Type" dataDxfId="533">
      <calculatedColumnFormula>IF(FutureTrends[[#This Row],['#]]="","",_xlfn.XLOOKUP(FutureTrends[[#This Row],['#]],Trends['#],Trends[Trend Type]))</calculatedColumnFormula>
    </tableColumn>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814CC18E-7711-774B-96C4-45B14318D82A}" name="FutureDrivers" displayName="FutureDrivers" ref="B20:E30" totalsRowShown="0" headerRowDxfId="532" dataDxfId="531">
  <autoFilter ref="B20:E30" xr:uid="{814CC18E-7711-774B-96C4-45B14318D82A}"/>
  <tableColumns count="4">
    <tableColumn id="1" xr3:uid="{BC7B462E-817E-C64C-BD2F-71C0F5BA28A1}" name="#" dataDxfId="530"/>
    <tableColumn id="2" xr3:uid="{EEF971D9-82C9-3D48-853D-F6B7EE98A119}" name="Driver Name" dataDxfId="529">
      <calculatedColumnFormula>IF(FutureDrivers[[#This Row],['#]]="","",_xlfn.XLOOKUP(FutureDrivers[[#This Row],['#]],Drivers[Driv '#],Drivers[Driver Short Name]))</calculatedColumnFormula>
    </tableColumn>
    <tableColumn id="3" xr3:uid="{774504A3-03AE-7F42-9261-0A6DBD846A85}" name="Impact on SE" dataDxfId="528">
      <calculatedColumnFormula>IF(FutureDrivers[[#This Row],['#]]="","",_xlfn.XLOOKUP(FutureDrivers[[#This Row],['#]],Drivers[Driv '#],Drivers[Impact on SE]))</calculatedColumnFormula>
    </tableColumn>
    <tableColumn id="4" xr3:uid="{DC6814D7-BE7E-1E4B-9667-4234430B63EE}" name="Impact on OA &amp; Organization" dataDxfId="527">
      <calculatedColumnFormula>IF(FutureDrivers[[#This Row],['#]]="","",_xlfn.XLOOKUP(FutureDrivers[[#This Row],['#]],Drivers[Driv '#],Drivers[Impact on OA and Org]))</calculatedColumnFormula>
    </tableColumn>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4702C085-48DB-A94D-8D4B-FE88AB652235}" name="FutureEvents" displayName="FutureEvents" ref="B32:E39" totalsRowShown="0" headerRowDxfId="526" dataDxfId="525">
  <autoFilter ref="B32:E39" xr:uid="{4702C085-48DB-A94D-8D4B-FE88AB652235}"/>
  <tableColumns count="4">
    <tableColumn id="1" xr3:uid="{D68BA128-7336-5B42-9D88-FC0AED0A5ACA}" name="Period" dataDxfId="524"/>
    <tableColumn id="2" xr3:uid="{0ACC3548-89A4-7C40-B88D-E093FAE78D1C}" name="Event Name" dataDxfId="523"/>
    <tableColumn id="3" xr3:uid="{A0C62343-DD54-6140-8302-0153E5F1BC81}" name="Description" dataDxfId="522"/>
    <tableColumn id="4" xr3:uid="{4A6CECFE-B822-4A45-9436-94A64B34EF29}" name="Period Snapshot and Impact on Future Conditions" dataDxfId="521"/>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DC73FE06-AD33-7E4C-8024-59E7BA8929F6}" name="FutureSignposts" displayName="FutureSignposts" ref="B41:E46" totalsRowShown="0" headerRowDxfId="520" dataDxfId="519">
  <autoFilter ref="B41:E46" xr:uid="{DC73FE06-AD33-7E4C-8024-59E7BA8929F6}"/>
  <tableColumns count="4">
    <tableColumn id="1" xr3:uid="{7BC5E4A4-7486-A64C-ABED-AA2EF28F6EE6}" name="#" dataDxfId="518"/>
    <tableColumn id="2" xr3:uid="{90F26DEF-4934-074E-9630-386B07C8D577}" name="Strategic Signposts Name" dataDxfId="517"/>
    <tableColumn id="3" xr3:uid="{A34C90EA-B4FE-4F4F-A7BA-6BBC9046D872}" name="Description" dataDxfId="516"/>
    <tableColumn id="4" xr3:uid="{61BAF5BB-0541-E243-9B48-56DC8483E445}" name="Specific Indicator to Observe" dataDxfId="515"/>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88F449B9-C7D0-2847-8187-DF75D91CC4B4}" name="FutureEvents103" displayName="FutureEvents103" ref="B32:E38" totalsRowShown="0" headerRowDxfId="514" dataDxfId="513">
  <autoFilter ref="B32:E38" xr:uid="{4702C085-48DB-A94D-8D4B-FE88AB652235}"/>
  <tableColumns count="4">
    <tableColumn id="1" xr3:uid="{39078854-D959-B04F-9F95-D478A1BA6757}" name="Period" dataDxfId="512"/>
    <tableColumn id="2" xr3:uid="{9126C44F-4FD4-374B-82A7-21F25CFB31CE}" name="Event Name" dataDxfId="511"/>
    <tableColumn id="3" xr3:uid="{AF1A805E-894B-7641-A7F6-E20F6D6B914C}" name="Description" dataDxfId="510"/>
    <tableColumn id="4" xr3:uid="{6C13D2C2-74A4-394D-91FD-833FD4DD45B5}" name="Period Snapshot and Impact on Future Conditions" dataDxfId="509"/>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A33B7618-1249-7340-9423-D903F01AA1B2}" name="FutureSignposts104" displayName="FutureSignposts104" ref="B40:E45" totalsRowShown="0" headerRowDxfId="508" dataDxfId="507">
  <autoFilter ref="B40:E45" xr:uid="{DC73FE06-AD33-7E4C-8024-59E7BA8929F6}"/>
  <tableColumns count="4">
    <tableColumn id="1" xr3:uid="{41A8C8F3-B0BF-DE4E-9C49-EDDFCF57C57A}" name="#" dataDxfId="506"/>
    <tableColumn id="2" xr3:uid="{C23F4F45-D10B-FA4D-B8A6-EBC8D832B6E1}" name="Strategic Signposts Name" dataDxfId="505"/>
    <tableColumn id="3" xr3:uid="{F0257B8A-267F-724E-A037-68285B94178E}" name="Description" dataDxfId="504"/>
    <tableColumn id="4" xr3:uid="{CF20FD8E-4EC6-6249-BC12-AA6CFAF8F61D}" name="Specific Indicator to Observe" dataDxfId="503"/>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4B59674E-8F57-9A4D-B209-0202411BE8DF}" name="FutureTrends106" displayName="FutureTrends106" ref="B11:E18" totalsRowShown="0" headerRowDxfId="502" dataDxfId="500" headerRowBorderDxfId="501" tableBorderDxfId="499" totalsRowBorderDxfId="498">
  <autoFilter ref="B11:E18" xr:uid="{4B59674E-8F57-9A4D-B209-0202411BE8DF}"/>
  <tableColumns count="4">
    <tableColumn id="1" xr3:uid="{B0A69646-2F52-EA48-A749-6B859F2090A1}" name="#" dataDxfId="497"/>
    <tableColumn id="2" xr3:uid="{04CDDFFD-36D2-7740-851C-E2D7305050B7}" name="Trend Name" dataDxfId="496">
      <calculatedColumnFormula>IF(FutureTrends106[[#This Row],['#]]="","",_xlfn.XLOOKUP(FutureTrends106[[#This Row],['#]],Trends['#],Trends[Trend Name]))</calculatedColumnFormula>
    </tableColumn>
    <tableColumn id="4" xr3:uid="{5DE13A6C-E9D2-B24E-8A99-F2739782EB0F}" name="Description" dataDxfId="495">
      <calculatedColumnFormula>IF(FutureTrends106[[#This Row],['#]]="","",_xlfn.XLOOKUP(FutureTrends106[[#This Row],['#]],Trends['#],Trends[Description]))</calculatedColumnFormula>
    </tableColumn>
    <tableColumn id="3" xr3:uid="{44B2BD63-297E-804E-9B5A-4BB9C927CE7B}" name="Trend Type" dataDxfId="494">
      <calculatedColumnFormula>IF(FutureTrends106[[#This Row],['#]]="","",_xlfn.XLOOKUP(FutureTrends106[[#This Row],['#]],Trends['#],Trends[Trend Type]))</calculatedColumnFormula>
    </tableColumn>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50A6E176-271F-0646-A32E-60C3414BC547}" name="FutureDrivers107" displayName="FutureDrivers107" ref="B20:E30" totalsRowShown="0" headerRowDxfId="493" dataDxfId="492">
  <autoFilter ref="B20:E30" xr:uid="{50A6E176-271F-0646-A32E-60C3414BC547}"/>
  <sortState xmlns:xlrd2="http://schemas.microsoft.com/office/spreadsheetml/2017/richdata2" ref="B21:E30">
    <sortCondition ref="B20:B30"/>
  </sortState>
  <tableColumns count="4">
    <tableColumn id="1" xr3:uid="{0F6C4A53-6651-B449-BEED-367A9759DACD}" name="#" dataDxfId="491"/>
    <tableColumn id="2" xr3:uid="{CEA94458-4F4B-C846-BB64-37C7215F0AD9}" name="Driver Name" dataDxfId="490">
      <calculatedColumnFormula>IF(FutureDrivers107[[#This Row],['#]]="","",_xlfn.XLOOKUP(FutureDrivers107[[#This Row],['#]],Drivers[Driv '#],Drivers[Driver Short Name]))</calculatedColumnFormula>
    </tableColumn>
    <tableColumn id="3" xr3:uid="{C564084D-586B-BA4C-84C0-44DB6B70AA7F}" name="Impact on SE" dataDxfId="489">
      <calculatedColumnFormula>IF(FutureDrivers107[[#This Row],['#]]="","",_xlfn.XLOOKUP(FutureDrivers107[[#This Row],['#]],Drivers[Driv '#],Drivers[Impact on SE]))</calculatedColumnFormula>
    </tableColumn>
    <tableColumn id="4" xr3:uid="{8328CEA0-54C8-7441-AE89-CEFFB4BC7098}" name="Impact on OA &amp; Organization" dataDxfId="488">
      <calculatedColumnFormula>IF(FutureDrivers107[[#This Row],['#]]="","",_xlfn.XLOOKUP(FutureDrivers107[[#This Row],['#]],Drivers[Driv '#],Drivers[Impact on OA and Org]))</calculatedColumnFormula>
    </tableColumn>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3C85C9AC-7C6D-CD46-93AA-0143F59E6118}" name="FutureEvents103109" displayName="FutureEvents103109" ref="B31:E37" totalsRowShown="0" headerRowDxfId="487" dataDxfId="486">
  <autoFilter ref="B31:E37" xr:uid="{4702C085-48DB-A94D-8D4B-FE88AB652235}"/>
  <tableColumns count="4">
    <tableColumn id="1" xr3:uid="{4F56ACBA-5932-9242-AC1B-033C71447045}" name="Period" dataDxfId="485"/>
    <tableColumn id="2" xr3:uid="{8827CBDF-704D-1C4E-8D39-EA0805906C99}" name="Event Name" dataDxfId="484"/>
    <tableColumn id="3" xr3:uid="{EAF5092A-7108-E244-AB74-A99A868279CB}" name="Description" dataDxfId="483"/>
    <tableColumn id="4" xr3:uid="{B5F7A7AD-464E-2545-9CFA-AF3E9029D9F6}" name="Period Snapshot and Impact on Future Conditions" dataDxfId="482"/>
  </tableColumns>
  <tableStyleInfo name="TableStyleLight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EC58F3AC-E8A9-2E4F-BB51-B44D61675C63}" name="FutureSignposts104110" displayName="FutureSignposts104110" ref="B39:E44" totalsRowShown="0" headerRowDxfId="481" dataDxfId="480">
  <autoFilter ref="B39:E44" xr:uid="{DC73FE06-AD33-7E4C-8024-59E7BA8929F6}"/>
  <tableColumns count="4">
    <tableColumn id="1" xr3:uid="{41180CA6-C184-124D-8B28-69908C668908}" name="#" dataDxfId="479"/>
    <tableColumn id="2" xr3:uid="{7E80F6EC-C1F0-094B-A267-AFBE1EB61FF1}" name="Strategic Signposts Name" dataDxfId="478"/>
    <tableColumn id="3" xr3:uid="{20631D19-2107-D04E-B39C-860FF676F6A1}" name="Description" dataDxfId="477"/>
    <tableColumn id="4" xr3:uid="{94951B08-F469-FA4F-A476-EDC7C8FA33BA}" name="Specific Indicator to Observe" dataDxfId="476"/>
  </tableColumns>
  <tableStyleInfo name="TableStyleLight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9E9EE0BD-3B65-354A-84DA-FCD636EA46EA}" name="FutureTrends106111" displayName="FutureTrends106111" ref="B11:E16" totalsRowShown="0" headerRowDxfId="475" dataDxfId="474">
  <autoFilter ref="B11:E16" xr:uid="{4B59674E-8F57-9A4D-B209-0202411BE8DF}"/>
  <tableColumns count="4">
    <tableColumn id="1" xr3:uid="{55A94582-8E33-1246-A289-073A82F48AB2}" name="#" dataDxfId="473"/>
    <tableColumn id="2" xr3:uid="{04027B1A-7808-CC49-9CF3-BF920D63979A}" name="Trend Name" dataDxfId="472">
      <calculatedColumnFormula>IF(FutureTrends106111[[#This Row],['#]]="","",_xlfn.XLOOKUP(FutureTrends106111[[#This Row],['#]],Trends['#],Trends[Trend Name]))</calculatedColumnFormula>
    </tableColumn>
    <tableColumn id="4" xr3:uid="{D0192189-1085-874C-82F1-68D0CB73CD12}" name="Description" dataDxfId="471">
      <calculatedColumnFormula>IF(FutureTrends106111[[#This Row],['#]]="","",_xlfn.XLOOKUP(FutureTrends106111[[#This Row],['#]],Trends['#],Trends[Description]))</calculatedColumnFormula>
    </tableColumn>
    <tableColumn id="3" xr3:uid="{94898F77-DB0D-434A-8390-5D764E851219}" name="Trend Type" dataDxfId="470">
      <calculatedColumnFormula>IF(FutureTrends106111[[#This Row],['#]]="","",_xlfn.XLOOKUP(FutureTrends106111[[#This Row],['#]],Trends['#],Trends[Trend Type]))</calculatedColumnFormula>
    </tableColumn>
  </tableColumns>
  <tableStyleInfo name="TableStyleLight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A5B01AC4-633A-6A47-A0AA-21B66933C13B}" name="FutureDrivers107112" displayName="FutureDrivers107112" ref="B18:E29" totalsRowShown="0" headerRowDxfId="469" dataDxfId="468">
  <autoFilter ref="B18:E29" xr:uid="{50A6E176-271F-0646-A32E-60C3414BC547}"/>
  <sortState xmlns:xlrd2="http://schemas.microsoft.com/office/spreadsheetml/2017/richdata2" ref="B19:E29">
    <sortCondition ref="B18:B29"/>
  </sortState>
  <tableColumns count="4">
    <tableColumn id="1" xr3:uid="{E222BE25-F1B1-3144-B814-5491F7204118}" name="#" dataDxfId="467"/>
    <tableColumn id="2" xr3:uid="{CFB10D4C-9B19-3341-A50F-3B5F689CF8D3}" name="Driver Name" dataDxfId="466">
      <calculatedColumnFormula>IF(FutureDrivers107112[[#This Row],['#]]="","",_xlfn.XLOOKUP(FutureDrivers107112[[#This Row],['#]],Drivers[Driv '#],Drivers[Driver Short Name]))</calculatedColumnFormula>
    </tableColumn>
    <tableColumn id="3" xr3:uid="{3C70E73C-4702-554A-8CD2-E982918F70B7}" name="Impact on SE" dataDxfId="465">
      <calculatedColumnFormula>IF(FutureDrivers107112[[#This Row],['#]]="","",_xlfn.XLOOKUP(FutureDrivers107112[[#This Row],['#]],Drivers[Driv '#],Drivers[Impact on SE]))</calculatedColumnFormula>
    </tableColumn>
    <tableColumn id="4" xr3:uid="{6C3174D7-5673-334B-9812-2E938EE4CCD1}" name="Impact on OA &amp; Organization" dataDxfId="464">
      <calculatedColumnFormula>IF(FutureDrivers107112[[#This Row],['#]]="","",_xlfn.XLOOKUP(FutureDrivers107112[[#This Row],['#]],Drivers[Driv '#],Drivers[Impact on OA and Org]))</calculatedColumnFormula>
    </tableColumn>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555008B4-4FDD-CB48-BFDC-50497F91883D}" name="FutureEvents103109114" displayName="FutureEvents103109114" ref="B28:E34" totalsRowShown="0" headerRowDxfId="463" dataDxfId="462">
  <autoFilter ref="B28:E34" xr:uid="{4702C085-48DB-A94D-8D4B-FE88AB652235}"/>
  <tableColumns count="4">
    <tableColumn id="1" xr3:uid="{DFF70485-797A-0042-B344-D0E70DAC4AEA}" name="Period" dataDxfId="461"/>
    <tableColumn id="2" xr3:uid="{6E408CCB-FAFB-AB4B-AB37-9AE911BAE880}" name="Event Name" dataDxfId="460"/>
    <tableColumn id="3" xr3:uid="{EF2E5A9F-B13E-AC47-98D4-DAF6F840643F}" name="Description" dataDxfId="459"/>
    <tableColumn id="4" xr3:uid="{79D59636-9AA4-ED43-AD34-B0007852FFEF}" name="Period Snapshot and Impact on Future Conditions" dataDxfId="458"/>
  </tableColumns>
  <tableStyleInfo name="TableStyleLight8"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51DEBA7A-B2AF-8B45-BBB5-460D354D0BCB}" name="FutureSignposts104110115" displayName="FutureSignposts104110115" ref="B36:E42" totalsRowShown="0" headerRowDxfId="457" dataDxfId="456">
  <autoFilter ref="B36:E42" xr:uid="{DC73FE06-AD33-7E4C-8024-59E7BA8929F6}"/>
  <tableColumns count="4">
    <tableColumn id="1" xr3:uid="{CA8E0D68-EF15-8442-8DBA-F40A2C21FB94}" name="#" dataDxfId="455"/>
    <tableColumn id="2" xr3:uid="{94259167-880F-1642-9B89-03551801C8F9}" name="Strategic Signposts Name" dataDxfId="454"/>
    <tableColumn id="3" xr3:uid="{3DE88576-D440-7742-ACD2-61282FB45709}" name="Description" dataDxfId="453"/>
    <tableColumn id="4" xr3:uid="{A48BC69F-1407-AF44-8319-24E645FA4059}" name="Specific Indicator to Observe" dataDxfId="452"/>
  </tableColumns>
  <tableStyleInfo name="TableStyleLight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E155F20E-3305-0C45-B5BA-EE5808017DE8}" name="FutureTrends106111116" displayName="FutureTrends106111116" ref="B11:E14" totalsRowShown="0" headerRowDxfId="451" dataDxfId="449" headerRowBorderDxfId="450" tableBorderDxfId="448" totalsRowBorderDxfId="447">
  <autoFilter ref="B11:E14" xr:uid="{4B59674E-8F57-9A4D-B209-0202411BE8DF}"/>
  <tableColumns count="4">
    <tableColumn id="1" xr3:uid="{27132AF2-0873-6347-8D0A-A14F75ED560F}" name="#" dataDxfId="446"/>
    <tableColumn id="2" xr3:uid="{31708AE2-B7D3-C145-9217-22BB011DD4AD}" name="Trend Name" dataDxfId="445">
      <calculatedColumnFormula>IF(FutureTrends106111116[[#This Row],['#]]="","",_xlfn.XLOOKUP(FutureTrends106111116[[#This Row],['#]],Trends['#],Trends[Trend Name]))</calculatedColumnFormula>
    </tableColumn>
    <tableColumn id="4" xr3:uid="{C90C95D6-933E-E042-BA29-44213B6A1023}" name="Description" dataDxfId="444">
      <calculatedColumnFormula>IF(FutureTrends106111116[[#This Row],['#]]="","",_xlfn.XLOOKUP(FutureTrends106111116[[#This Row],['#]],Trends['#],Trends[Description]))</calculatedColumnFormula>
    </tableColumn>
    <tableColumn id="3" xr3:uid="{57DD882D-94E9-3F44-82CD-BD85401BBE59}" name="Trend Type" dataDxfId="443">
      <calculatedColumnFormula>IF(FutureTrends106111116[[#This Row],['#]]="","",_xlfn.XLOOKUP(FutureTrends106111116[[#This Row],['#]],Trends['#],Trends[Trend Type]))</calculatedColumnFormula>
    </tableColumn>
  </tableColumns>
  <tableStyleInfo name="TableStyleLight8"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C5C208C3-6C3A-9840-B3A2-FFD1F51829CD}" name="FutureDrivers107112117" displayName="FutureDrivers107112117" ref="B16:E26" totalsRowShown="0" headerRowDxfId="442" dataDxfId="441">
  <autoFilter ref="B16:E26" xr:uid="{50A6E176-271F-0646-A32E-60C3414BC547}"/>
  <sortState xmlns:xlrd2="http://schemas.microsoft.com/office/spreadsheetml/2017/richdata2" ref="B17:E26">
    <sortCondition ref="B16:B26"/>
  </sortState>
  <tableColumns count="4">
    <tableColumn id="1" xr3:uid="{C6363A4C-D2B9-8048-8DD1-9F6B069DA5C5}" name="#" dataDxfId="440"/>
    <tableColumn id="2" xr3:uid="{F51DF17B-5DAB-EE43-A3CE-C09E28825B7B}" name="Driver Name" dataDxfId="439">
      <calculatedColumnFormula>IF(FutureDrivers107112117[[#This Row],['#]]="","",_xlfn.XLOOKUP(FutureDrivers107112117[[#This Row],['#]],Drivers[Driv '#],Drivers[Driver Short Name]))</calculatedColumnFormula>
    </tableColumn>
    <tableColumn id="3" xr3:uid="{2AC68452-12AB-7B47-A122-514543035E19}" name="Impact on SE" dataDxfId="438">
      <calculatedColumnFormula>IF(FutureDrivers107112117[[#This Row],['#]]="","",_xlfn.XLOOKUP(FutureDrivers107112117[[#This Row],['#]],Drivers[Driv '#],Drivers[Impact on SE]))</calculatedColumnFormula>
    </tableColumn>
    <tableColumn id="4" xr3:uid="{749D5E15-E0DE-2F4A-9072-313D55AB68E6}" name="Impact on OA &amp; Organization" dataDxfId="437">
      <calculatedColumnFormula>IF(FutureDrivers107112117[[#This Row],['#]]="","",_xlfn.XLOOKUP(FutureDrivers107112117[[#This Row],['#]],Drivers[Driv '#],Drivers[Impact on OA and Org]))</calculatedColumnFormula>
    </tableColumn>
  </tableColumns>
  <tableStyleInfo name="TableStyleLight8"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C6A67DEA-FC52-5B49-9F84-E97AD9462F07}" name="SWOT" displayName="SWOT" ref="A3:J50" totalsRowShown="0" headerRowDxfId="436" dataDxfId="435">
  <autoFilter ref="A3:J50" xr:uid="{C6A67DEA-FC52-5B49-9F84-E97AD9462F07}"/>
  <tableColumns count="10">
    <tableColumn id="8" xr3:uid="{EFF8FCE4-1328-8548-AE5E-BC6B968195D1}" name="Cat #" dataDxfId="434">
      <calculatedColumnFormula>_xlfn.XLOOKUP(SWOT[[#This Row],[Category]],SWOT_Category[Category],SWOT_Category['#])</calculatedColumnFormula>
    </tableColumn>
    <tableColumn id="1" xr3:uid="{4EC77D3D-FB86-5C4F-87F8-73A37845DF3B}" name="Item" dataDxfId="433"/>
    <tableColumn id="9" xr3:uid="{8B3D277E-EF33-0C41-8F68-08B04A3872B7}" name="Description" dataDxfId="432"/>
    <tableColumn id="2" xr3:uid="{15A22A91-7142-9E4B-AA42-6E0E705BEE54}" name="Category" dataDxfId="431"/>
    <tableColumn id="7" xr3:uid="{AE54432C-A15D-9E4B-8A8B-6EFD513D1D3A}" name="Origination (Source) of Item" dataDxfId="430"/>
    <tableColumn id="3" xr3:uid="{78CAFEF0-4788-6549-8671-0CF70B031B50}" name="Advantage" dataDxfId="429"/>
    <tableColumn id="4" xr3:uid="{941ED645-604F-0446-A2B0-3A943AE1FBCF}" name="Value / Impact" dataDxfId="428"/>
    <tableColumn id="5" xr3:uid="{495C25E0-6A53-4745-B000-460895AAAFA8}" name="Power / Probability" dataDxfId="427"/>
    <tableColumn id="6" xr3:uid="{6AEEDF4C-BE2D-1D4B-A055-B33153CE97F8}" name="Total Score" dataDxfId="426">
      <calculatedColumnFormula>IF(AND(SWOT[[#This Row],[Value / Impact]]&lt;&gt;"",SWOT[[#This Row],[Power / Probability]]&lt;&gt;""),G4*H4,"")</calculatedColumnFormula>
    </tableColumn>
    <tableColumn id="10" xr3:uid="{52B7D00B-9EC7-5245-9DF0-51E178133D75}" name="Summary" dataDxfId="425">
      <calculatedColumnFormula>SWOT[[#This Row],[Item]]&amp;": "&amp;SWOT[[#This Row],[Description]]&amp;" ("&amp;SWOT[[#This Row],[Origination (Source) of Item]]&amp;")"&amp;" (Total Score: "&amp;SWOT[[#This Row],[Total Score]]&amp;")"</calculatedColumnFormula>
    </tableColumn>
  </tableColumns>
  <tableStyleInfo name="TableStyleLight8"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9B88BE28-BBA2-BA48-82E8-E155D911E81A}" name="OA_Analysis" displayName="OA_Analysis" ref="A3:R14" totalsRowShown="0" headerRowDxfId="424" dataDxfId="423">
  <autoFilter ref="A3:R14" xr:uid="{9B88BE28-BBA2-BA48-82E8-E155D911E81A}"/>
  <tableColumns count="18">
    <tableColumn id="1" xr3:uid="{0EB65D85-D011-B343-BE86-9F0F0B68238D}" name="#" dataDxfId="422"/>
    <tableColumn id="2" xr3:uid="{661BC6F5-2BD1-6E4F-A92F-97EB47D6778C}" name="Actor Name" dataDxfId="421"/>
    <tableColumn id="3" xr3:uid="{535DA319-FE54-1140-8B9C-C26B8E996515}" name="Classification" dataDxfId="420"/>
    <tableColumn id="4" xr3:uid="{474216CA-E211-FC49-BFC2-50A7544B7258}" name="Disposition" dataDxfId="419"/>
    <tableColumn id="5" xr3:uid="{B73D146E-6CAF-1745-BB9E-5E8BCDF375E9}" name="Competitive Forces" dataDxfId="418"/>
    <tableColumn id="8" xr3:uid="{0675B7F6-D894-F34D-96AB-DF3253C8C366}" name="Key Actor" dataDxfId="417"/>
    <tableColumn id="9" xr3:uid="{1C7D2C37-7130-5242-B6A4-DDF9ABD644ED}" name="Interests" dataDxfId="416"/>
    <tableColumn id="10" xr3:uid="{3C357340-B076-2848-9FE9-C1659CE87086}" name="Tensions" dataDxfId="415"/>
    <tableColumn id="11" xr3:uid="{BD1BB5F2-8B34-DD4B-83EA-8AC3AC744DEF}" name="Critical Capabilities" dataDxfId="414"/>
    <tableColumn id="12" xr3:uid="{46D8A09D-3981-264F-8B1E-2B0A596D84C9}" name="Critical Vulnerabilities" dataDxfId="413"/>
    <tableColumn id="13" xr3:uid="{CCD24BF3-13DA-F641-96F1-AF1160154CDB}" name="Desired Endstate" dataDxfId="412"/>
    <tableColumn id="14" xr3:uid="{9052713F-EAF9-4045-B043-B970BD94A1C9}" name="Preferred Future" dataDxfId="411"/>
    <tableColumn id="15" xr3:uid="{5B6AF482-0E96-BE41-ADD8-B90997D035C6}" name="Tendencies" dataDxfId="410"/>
    <tableColumn id="16" xr3:uid="{D907B632-E0F7-9E45-871A-C548018D07DD}" name="Most Likely COA" dataDxfId="409"/>
    <tableColumn id="19" xr3:uid="{EA2223C6-79B5-5141-B186-69C7AACE0F47}" name="Most Dangerous COA" dataDxfId="408"/>
    <tableColumn id="18" xr3:uid="{721BC4E6-8D68-1F4D-ABB1-FC8F6BD4F56B}" name="Opportunities and Threats" dataDxfId="407"/>
    <tableColumn id="17" xr3:uid="{2A12282F-072C-644F-A61A-F5E75F8885DE}" name="Operational Signpost" dataDxfId="406"/>
    <tableColumn id="6" xr3:uid="{2C39F60D-0520-A643-837F-BCB6A5F3EC33}" name="Statement" dataDxfId="405">
      <calculatedColumnFormula>OA_Analysis[[#This Row],[Actor Name]]&amp;": "&amp;OA_Analysis[[#This Row],[Operational Signpost]]</calculatedColumnFormula>
    </tableColumn>
  </tableColumns>
  <tableStyleInfo name="TableStyleLight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FC06C3-819E-D64A-A174-680CBC235E62}" name="CBA" displayName="CBA" ref="A3:U22" totalsRowShown="0" headerRowDxfId="404" dataDxfId="35" tableBorderDxfId="403">
  <autoFilter ref="A3:U22" xr:uid="{102B76DD-0277-904B-9E2E-FD2FDD640445}"/>
  <tableColumns count="21">
    <tableColumn id="14" xr3:uid="{166AC992-95F4-B643-94E3-FC7B237732FD}" name="Capability Name" dataDxfId="56"/>
    <tableColumn id="3" xr3:uid="{2B6443BA-A9E4-0341-8002-B2AEA3970088}" name="Capability Description" dataDxfId="55"/>
    <tableColumn id="12" xr3:uid="{0ED13D1C-BCCB-E943-B265-45B6D6FE5397}" name="Origination (Source) of Item" dataDxfId="54"/>
    <tableColumn id="2" xr3:uid="{48BA1171-D83D-554B-A1C3-BE4DC3C88858}" name="Production Stage" dataDxfId="53"/>
    <tableColumn id="4" xr3:uid="{E6633A2E-B64E-4D43-9AD9-03A0A336C304}" name="IOC Expected Date" dataDxfId="52"/>
    <tableColumn id="5" xr3:uid="{05CBBD81-99A0-8A45-833B-7716C9F2EA0F}" name="FOC Expected Date" dataDxfId="51"/>
    <tableColumn id="7" xr3:uid="{8ED00346-CAF9-0A42-91AA-D85ED1620DC8}" name="Advantage" dataDxfId="50"/>
    <tableColumn id="6" xr3:uid="{8D5B41BF-8628-7341-AC0B-154E9353922F}" name="Key Performance Attributes (KPAs)" dataDxfId="49"/>
    <tableColumn id="1" xr3:uid="{ADBC08E4-5C7F-FD4E-90F6-D528502D2BF4}" name="Key Performance Parameters (KPP)" dataDxfId="48"/>
    <tableColumn id="20" xr3:uid="{656466A3-809A-414D-BE9A-00189B9C859B}" name="Objectives Supported" dataDxfId="47"/>
    <tableColumn id="15" xr3:uid="{917033ED-2EAB-2947-AFC5-2CECDB274A66}" name="Capability Analysis" dataDxfId="46"/>
    <tableColumn id="16" xr3:uid="{631EDA2F-4F8A-7143-9F72-9CC7955EAAC1}" name="Gap Characterization" dataDxfId="45"/>
    <tableColumn id="21" xr3:uid="{CF19664A-563D-E245-A60B-393E7D358155}" name="CRA" dataDxfId="44"/>
    <tableColumn id="22" xr3:uid="{43D9DCE0-8610-EE4D-A321-9DB3FF045083}" name="Accept Risk" dataDxfId="43"/>
    <tableColumn id="19" xr3:uid="{1DD7A51B-B5EB-4046-B412-84B8397D20CF}" name="Status" dataDxfId="42"/>
    <tableColumn id="9" xr3:uid="{FA2CB790-EB9D-484C-8BB3-67C482806065}" name="Capability Solution" dataDxfId="41"/>
    <tableColumn id="17" xr3:uid="{F4D87E0F-BB9B-5C4C-A6D9-1A6D07A6C702}" name="Solution Description (DOTMIL-PF)" dataDxfId="40"/>
    <tableColumn id="8" xr3:uid="{27A2F917-204D-E941-A413-FE12CCF2D944}" name="Estimated Cost" dataDxfId="39"/>
    <tableColumn id="10" xr3:uid="{933CBEC7-018A-4649-A2C9-58F746FE6A69}" name="Add to IPL" dataDxfId="38"/>
    <tableColumn id="11" xr3:uid="{FF552A35-F16A-B142-A954-F1DBCCED390F}" name="Prioritization #" dataDxfId="37"/>
    <tableColumn id="13" xr3:uid="{D590BE13-696F-4946-8AC4-72C61B2F2328}" name="Statement" dataDxfId="36">
      <calculatedColumnFormula>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"&amp;M4&amp;")"&amp;" (Capability Solution: "&amp;CBA[[#This Row],[Capability Solution]]&amp;" - $"&amp;CBA[[#This Row],[Estimated Cost]]&amp;")"</calculatedColumnFormula>
    </tableColumn>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452E921C-D8F6-5740-BA69-D9DA5EC99197}" name="IPL" displayName="IPL" ref="A3:I9" totalsRowShown="0" headerRowDxfId="402" dataDxfId="401">
  <autoFilter ref="A3:I9" xr:uid="{452E921C-D8F6-5740-BA69-D9DA5EC99197}"/>
  <tableColumns count="9">
    <tableColumn id="1" xr3:uid="{8C33CFF7-A216-7744-968A-530D453546B8}" name="Capability Name" dataDxfId="400"/>
    <tableColumn id="12" xr3:uid="{24878725-841D-B044-8FE5-D372FDEED5D9}" name="Production Stage" dataDxfId="399">
      <calculatedColumnFormula>_xlfn.XLOOKUP(IPL[[#This Row],[Capability Name]],CBA[Capability Name],CBA[Production Stage])</calculatedColumnFormula>
    </tableColumn>
    <tableColumn id="5" xr3:uid="{0879B591-EB68-C444-971B-BA6890FE98E1}" name="IOC" dataDxfId="398">
      <calculatedColumnFormula>_xlfn.XLOOKUP(IPL[[#This Row],[Capability Name]],CBA[Capability Name],CBA[IOC Expected Date])</calculatedColumnFormula>
    </tableColumn>
    <tableColumn id="9" xr3:uid="{12787842-D554-7148-9E6C-34AD3D4F4234}" name="FOC" dataDxfId="397">
      <calculatedColumnFormula>_xlfn.XLOOKUP(IPL[[#This Row],[Capability Name]],CBA[Capability Name],CBA[FOC Expected Date])</calculatedColumnFormula>
    </tableColumn>
    <tableColumn id="3" xr3:uid="{EC1DA750-7AC3-264C-8FD0-4A56A67297E2}" name="Objective(s) Supported" dataDxfId="396">
      <calculatedColumnFormula>_xlfn.XLOOKUP(IPL[[#This Row],[Capability Name]],CBA[Capability Name],CBA[Objectives Supported])</calculatedColumnFormula>
    </tableColumn>
    <tableColumn id="11" xr3:uid="{61ABBD1E-1BC8-974F-92BD-1639A5C9AB30}" name="Gap Characterization" dataDxfId="395">
      <calculatedColumnFormula>_xlfn.XLOOKUP(IPL[[#This Row],[Capability Name]],CBA[Capability Name],CBA[Gap Characterization])</calculatedColumnFormula>
    </tableColumn>
    <tableColumn id="4" xr3:uid="{80F78163-5ADE-384B-A425-63D91084DF0E}" name="CRA" dataDxfId="394">
      <calculatedColumnFormula>_xlfn.XLOOKUP(IPL[[#This Row],[Capability Name]],CBA[Capability Name],CBA[CRA])</calculatedColumnFormula>
    </tableColumn>
    <tableColumn id="2" xr3:uid="{FAD773D2-8FA4-7349-9C94-28797F739A60}" name="Solution" dataDxfId="393">
      <calculatedColumnFormula>_xlfn.XLOOKUP(IPL[[#This Row],[Capability Name]],CBA[Capability Name],CBA[Capability Solution])</calculatedColumnFormula>
    </tableColumn>
    <tableColumn id="10" xr3:uid="{FD9FA2AD-2180-984C-89E0-C7C9FB1E3AC2}" name="Cost" dataDxfId="392" dataCellStyle="Currency">
      <calculatedColumnFormula>_xlfn.XLOOKUP(IPL[[#This Row],[Capability Name]],CBA[Capability Name],CBA[Estimated Cost])</calculatedColumnFormula>
    </tableColumn>
  </tableColumns>
  <tableStyleInfo name="TableStyleLight8"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E3C26274-A20E-C64D-93AC-34954436C16A}" name="Stratgegy_SG" displayName="Stratgegy_SG" ref="B14:I18" totalsRowShown="0" headerRowDxfId="31" dataDxfId="30">
  <autoFilter ref="B14:I18" xr:uid="{F70A9A21-027D-6044-84D2-87D929871555}"/>
  <sortState xmlns:xlrd2="http://schemas.microsoft.com/office/spreadsheetml/2017/richdata2" ref="B15:G18">
    <sortCondition ref="B14:B18"/>
  </sortState>
  <tableColumns count="8">
    <tableColumn id="5" xr3:uid="{953CAAC9-0530-8A4A-A0F1-A02CDC6ECEC1}" name="#" dataDxfId="29"/>
    <tableColumn id="1" xr3:uid="{9DDCA263-B50A-104C-975D-477EB025DF57}" name="Short Name" dataDxfId="28"/>
    <tableColumn id="2" xr3:uid="{C59CBDF7-670C-3947-A5E5-8746729D588C}" name="Type" dataDxfId="27"/>
    <tableColumn id="7" xr3:uid="{C628E66D-B9AA-0A44-AE61-387637FDC961}" name="Condition Targeted" dataDxfId="26"/>
    <tableColumn id="4" xr3:uid="{D3A5836C-E3F9-3742-BF28-494C5C5EB41F}" name="Description" dataDxfId="25"/>
    <tableColumn id="6" xr3:uid="{FFD3947B-AA89-6A4A-ACF1-A2CE8114EF75}" name="Target Date" dataDxfId="24"/>
    <tableColumn id="8" xr3:uid="{1C640274-7D93-3D4A-8D97-1DC1B96D0C5B}" name="Cost" dataDxfId="22">
      <calculatedColumnFormula>SUMIFS(Stratgegy_OBJ[Cost],Stratgegy_OBJ[Strategic Goal Targeted],Stratgegy_SG[[#This Row],[Short Name]])</calculatedColumnFormula>
    </tableColumn>
    <tableColumn id="3" xr3:uid="{C5E32D35-1263-384B-A19C-AF2B504FAE58}" name="Statement" dataDxfId="23">
      <calculatedColumnFormula>Stratgegy_SG[[#This Row],[Short Name]]&amp;" ("&amp;Stratgegy_SG[[#This Row],[Type]]&amp;"): "&amp;Stratgegy_SG[[#This Row],[Description]]&amp;" (Condition Measured: "&amp;Stratgegy_SG[[#Headers],[Condition Targeted]]&amp;"; Date targeted: "&amp;TEXT(Stratgegy_SG[[#This Row],[Target Date]],"DD-MMM-YYYY")&amp;"; Cost: "&amp;TEXT(Stratgegy_SG[[#This Row],[Cost]],"$#,##0")&amp;")"</calculatedColumnFormula>
    </tableColumn>
  </tableColumns>
  <tableStyleInfo name="TableStyleLight8"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A2CF03EA-2436-214C-BAE2-192A4255D6F6}" name="Stratgegy_MOE" displayName="Stratgegy_MOE" ref="B22:I27" totalsRowShown="0" headerRowDxfId="391" dataDxfId="390">
  <autoFilter ref="B22:I27" xr:uid="{77941810-E924-B74B-B247-5206D50DE9EF}"/>
  <sortState xmlns:xlrd2="http://schemas.microsoft.com/office/spreadsheetml/2017/richdata2" ref="B23:F27">
    <sortCondition ref="B22:B27"/>
  </sortState>
  <tableColumns count="8">
    <tableColumn id="5" xr3:uid="{0A8086C8-43E4-034C-8238-F87CF76FAD27}" name="#" dataDxfId="389"/>
    <tableColumn id="1" xr3:uid="{0A8AA80D-E330-384D-BAAE-C65A38508F3D}" name="Short Name" dataDxfId="388"/>
    <tableColumn id="4" xr3:uid="{C2B5A483-83BA-984A-9879-EDBC7862842F}" name="Strategic Goal Targeted" dataDxfId="387"/>
    <tableColumn id="2" xr3:uid="{EA32972D-AEFC-6C4A-8707-C81949E569AC}" name="Condition Measured" dataDxfId="386"/>
    <tableColumn id="6" xr3:uid="{63AA59B3-6629-164F-B308-5B883298EABE}" name="Description" dataDxfId="34"/>
    <tableColumn id="3" xr3:uid="{28ECA36A-0A6B-4748-9527-52BA01E25689}" name="Target Date" dataDxfId="32"/>
    <tableColumn id="8" xr3:uid="{0A9D394E-CF58-1646-A56A-DB9525031BAA}" name="Blank" dataDxfId="33"/>
    <tableColumn id="7" xr3:uid="{1DA947A9-8232-6B40-AE6F-89D55CDD585F}" name="Statement" dataDxfId="385">
      <calculatedColumnFormula>Stratgegy_MOE[[#This Row],[Short Name]]&amp;" (Strategic Goal Targeted: "&amp;Stratgegy_MOE[[#This Row],[Strategic Goal Targeted]]&amp;"): "&amp;Stratgegy_MOE[[#This Row],[Description]]&amp;" (Condition Measured: "&amp;Stratgegy_MOE[[#This Row],[Condition Measured]]&amp;"; Date targeted: "&amp;TEXT(Stratgegy_MOE[[#This Row],[Target Date]],"DD-MMM-YYYY")&amp;")"</calculatedColumnFormula>
    </tableColumn>
  </tableColumns>
  <tableStyleInfo name="TableStyleLight8"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CA7D210A-9141-0A4A-B1AF-0A27168BCDB3}" name="Stratgegy_OBJ" displayName="Stratgegy_OBJ" ref="B30:I40" totalsRowShown="0" headerRowDxfId="384" dataDxfId="383">
  <autoFilter ref="B30:I40" xr:uid="{DBAA408C-FD67-5644-8A18-1AB727C84706}"/>
  <sortState xmlns:xlrd2="http://schemas.microsoft.com/office/spreadsheetml/2017/richdata2" ref="B31:G43">
    <sortCondition descending="1" ref="G30:G43"/>
  </sortState>
  <tableColumns count="8">
    <tableColumn id="5" xr3:uid="{4F1927A6-E48D-1D48-BAC0-D40CC3F4B6CF}" name="#" dataDxfId="382"/>
    <tableColumn id="1" xr3:uid="{944CAA8C-8F06-904A-B420-68342FE1C0AA}" name="Short Name" dataDxfId="381"/>
    <tableColumn id="4" xr3:uid="{47C7C04A-EBCC-5448-A7D2-0AEAFC25B9EC}" name="Type" dataDxfId="380"/>
    <tableColumn id="2" xr3:uid="{3DAB83E1-9F3B-6E45-97C2-70DE4C460815}" name="Strategic Goal Targeted" dataDxfId="379"/>
    <tableColumn id="6" xr3:uid="{4BA10635-9A9B-F247-8482-1585447A7AB3}" name="Description" dataDxfId="378"/>
    <tableColumn id="3" xr3:uid="{8E6846F9-C3F0-1E4C-9D66-57953878D0CE}" name="Target Date" dataDxfId="377"/>
    <tableColumn id="8" xr3:uid="{12FDD632-DA0C-484B-8805-2B4E527140E5}" name="Cost" dataDxfId="376" dataCellStyle="Currency">
      <calculatedColumnFormula>SUMIFS(Stratgegy_OBJ_2[Cost],Stratgegy_OBJ_2[Objective Targeted],Stratgegy_OBJ[[#This Row],[Short Name]])</calculatedColumnFormula>
    </tableColumn>
    <tableColumn id="7" xr3:uid="{706029A1-2ED0-7C4B-9990-69F46A36EB98}" name="Statement" dataDxfId="375">
      <calculatedColumnFormula>Stratgegy_OBJ[[#This Row],[Short Name]]&amp;" ("&amp;Stratgegy_OBJ[[#This Row],[Type]]&amp;"): "&amp;Stratgegy_OBJ[[#This Row],[Description]]&amp;" (Strategic Goal targeted: "&amp;Stratgegy_OBJ[[#This Row],[Strategic Goal Targeted]]&amp;"; Date targeted: "&amp;TEXT(Stratgegy_OBJ[[#This Row],[Target Date]],"DD-MMM-YYYY")&amp;"; Cost: "&amp;TEXT(Stratgegy_OBJ[[#This Row],[Cost]],"$#,##0")&amp;")"</calculatedColumnFormula>
    </tableColumn>
  </tableColumns>
  <tableStyleInfo name="TableStyleLight8"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FCD7F790-CE0A-5741-8AA6-C6996406CDEE}" name="Stratgegy_OKRKPI" displayName="Stratgegy_OKRKPI" ref="B43:I64" totalsRowShown="0" headerRowDxfId="374" dataDxfId="373">
  <autoFilter ref="B43:I64" xr:uid="{36B43850-CCF2-3149-9E57-89EBE2369A55}"/>
  <tableColumns count="8">
    <tableColumn id="5" xr3:uid="{C0E626F3-6211-7A4D-93D4-1B52EA94E7DB}" name="#" dataDxfId="372"/>
    <tableColumn id="1" xr3:uid="{382464CE-26A1-1947-B27E-CD78855158D8}" name="Short Name" dataDxfId="371"/>
    <tableColumn id="2" xr3:uid="{C5865BC4-AF31-D542-83C3-D71EB982B3C2}" name="Type" dataDxfId="370"/>
    <tableColumn id="4" xr3:uid="{47AEFCA5-B9FD-2C45-8A7C-31467E87E4F1}" name="Objective Measured" dataDxfId="369"/>
    <tableColumn id="3" xr3:uid="{D26127B3-1645-6040-BBD8-2D9B42C34E00}" name="Description" dataDxfId="368"/>
    <tableColumn id="6" xr3:uid="{7AC3DC63-D254-1346-BF06-6BD63FCD7069}" name="Target Date" dataDxfId="367"/>
    <tableColumn id="8" xr3:uid="{E213EDF7-3B8C-0E40-A4DD-88F9A19EA776}" name="Blank" dataDxfId="366"/>
    <tableColumn id="7" xr3:uid="{A35DC002-51AB-DC42-B785-1D80B4D2936C}" name="Statement" dataDxfId="365">
      <calculatedColumnFormula>Stratgegy_OKRKPI[[#This Row],[Short Name]]&amp;" ("&amp;Stratgegy_OKRKPI[[#This Row],[Type]]&amp;"): "&amp;Stratgegy_OKRKPI[[#This Row],[Description]]&amp;" (Objective Measured: "&amp;Stratgegy_OKRKPI[[#This Row],[Objective Measured]]&amp;"; Date targeted / Frequency: "&amp;TEXT(Stratgegy_OKRKPI[[#This Row],[Target Date]],"DD-MMM-YYYY")&amp;")"</calculatedColumnFormula>
    </tableColumn>
  </tableColumns>
  <tableStyleInfo name="TableStyleLight8"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54784504-B0D9-C34F-AF7D-E5C15458095E}" name="Stratgegy_KeyActivity" displayName="Stratgegy_KeyActivity" ref="B98:I105" totalsRowShown="0" headerRowDxfId="364" dataDxfId="363">
  <autoFilter ref="B98:I105" xr:uid="{571A9E9A-7B83-4141-AB5D-1CD48079473D}"/>
  <tableColumns count="8">
    <tableColumn id="5" xr3:uid="{E6625B9E-369E-CA40-89A0-A282679E785B}" name="#" dataDxfId="362"/>
    <tableColumn id="1" xr3:uid="{EDF530EC-3D79-D246-B189-70580A375CC7}" name="Short Name" dataDxfId="361"/>
    <tableColumn id="2" xr3:uid="{B0404600-709F-4E43-A33F-865263891F0B}" name="Type" dataDxfId="360"/>
    <tableColumn id="4" xr3:uid="{79A0A836-44EA-DA4C-ABDD-AB528BF63BF8}" name="Objectives (&amp; Milestones) Targeted" dataDxfId="359"/>
    <tableColumn id="3" xr3:uid="{C8029DEC-A5FE-314D-BA02-CF35C3C0F72B}" name="Description" dataDxfId="358"/>
    <tableColumn id="6" xr3:uid="{4AC6E452-C27C-2B4F-8FF8-DD09C8E5A7EE}" name="Target Date" dataDxfId="357"/>
    <tableColumn id="8" xr3:uid="{6C4A1CCE-0B4E-724F-825A-B037E0CB4BFF}" name="Cost" dataDxfId="356"/>
    <tableColumn id="7" xr3:uid="{CACDF72E-6572-8148-9FA7-7428DEA8C8AE}" name="Statement" dataDxfId="355">
      <calculatedColumnFormula>Stratgegy_KeyActivity[[#This Row],[Short Name]]&amp;" ("&amp;Stratgegy_KeyActivity[[#This Row],[Type]]&amp;"): "&amp;Stratgegy_KeyActivity[[#This Row],[Description]]&amp;" (Strategic Goal targeted: "&amp;Stratgegy_KeyActivity[[#This Row],[Objectives (&amp; Milestones) Targeted]]&amp;"; Date targeted: "&amp;TEXT(Stratgegy_KeyActivity[[#This Row],[Target Date]],"DD-MMM-YYYY")&amp;"; Cost: "&amp;TEXT(Stratgegy_KeyActivity[[#This Row],[Cost]],"$#,##0")&amp;")"</calculatedColumnFormula>
    </tableColumn>
  </tableColumns>
  <tableStyleInfo name="TableStyleLight8"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B6398A19-6355-F14F-9A3F-45C56D5315B7}" name="Stratgegy_MOP" displayName="Stratgegy_MOP" ref="B109:I122" totalsRowShown="0" headerRowDxfId="354" dataDxfId="353">
  <autoFilter ref="B109:I122" xr:uid="{56951A84-F434-3548-B96C-70501F3FA069}"/>
  <tableColumns count="8">
    <tableColumn id="5" xr3:uid="{D01A0B7B-A6D1-C740-84E7-826DFA49FE3C}" name="#" dataDxfId="352"/>
    <tableColumn id="1" xr3:uid="{AA1BAC24-3679-8D44-ABA5-C2104D6CA1DF}" name="Short Name" dataDxfId="351"/>
    <tableColumn id="4" xr3:uid="{65AABFB6-548D-D243-A548-477CEFE7BF9E}" name="Type" dataDxfId="350"/>
    <tableColumn id="2" xr3:uid="{D91A3DEE-E0E3-F745-8E3B-08B6AB481C3A}" name="Key Activity Targeted" dataDxfId="349"/>
    <tableColumn id="3" xr3:uid="{2B452BA1-D768-4047-B807-48D6EA4E084C}" name="Description" dataDxfId="348"/>
    <tableColumn id="6" xr3:uid="{5A42B021-E46D-F04A-B5D2-7EA84B456133}" name="Target Date" dataDxfId="347"/>
    <tableColumn id="8" xr3:uid="{91CDBA64-851C-5E49-AE9C-DD3D4E50A4F9}" name="Blank" dataDxfId="346"/>
    <tableColumn id="7" xr3:uid="{5E243402-B605-C742-A3B6-B47D3818BC65}" name="Statement" dataDxfId="345">
      <calculatedColumnFormula>Stratgegy_MOP[[#This Row],[Short Name]]&amp;": "&amp;Stratgegy_MOP[[#This Row],[Description]]&amp;" (Strategic Goal targeted: "&amp;Stratgegy_MOP[[#This Row],[Key Activity Targeted]]&amp;"; Date targeted: "&amp;TEXT(Stratgegy_MOP[[#This Row],[Target Date]],"DD-MMM-YYYY")&amp;")"</calculatedColumnFormula>
    </tableColumn>
  </tableColumns>
  <tableStyleInfo name="TableStyleLight8"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407596-4440-C94E-849A-8ADE2A9A90DE}" name="Stratgegy_OBJ_2" displayName="Stratgegy_OBJ_2" ref="B67:I94" totalsRowShown="0" headerRowDxfId="344" dataDxfId="343">
  <autoFilter ref="B67:I94" xr:uid="{3C407596-4440-C94E-849A-8ADE2A9A90DE}"/>
  <sortState xmlns:xlrd2="http://schemas.microsoft.com/office/spreadsheetml/2017/richdata2" ref="B68:I94">
    <sortCondition ref="B67:B94"/>
  </sortState>
  <tableColumns count="8">
    <tableColumn id="5" xr3:uid="{8FCA0861-9DDB-1941-AF46-47C2EF1F4CB4}" name="#" dataDxfId="342"/>
    <tableColumn id="1" xr3:uid="{1164FA22-5382-C243-A060-09B7FED1CCF0}" name="Short Name" dataDxfId="341"/>
    <tableColumn id="4" xr3:uid="{4093F23C-DC70-B84B-8266-FBD85744FB73}" name="Type" dataDxfId="340"/>
    <tableColumn id="2" xr3:uid="{D744F29C-4DE6-2F4D-80ED-D9FB5D2078A8}" name="Objective Targeted" dataDxfId="339"/>
    <tableColumn id="6" xr3:uid="{83B63A2C-A86B-DA40-B4F2-5A24565E11B3}" name="Description" dataDxfId="338"/>
    <tableColumn id="3" xr3:uid="{FE10CA12-0C42-D141-9F7C-277D02008DAB}" name="Target Date" dataDxfId="337"/>
    <tableColumn id="8" xr3:uid="{F47F961B-3598-BB47-A374-8399A6F9EDC1}" name="Cost" dataDxfId="336" dataCellStyle="Currency"/>
    <tableColumn id="7" xr3:uid="{66E06298-5EBB-BF42-8990-9CB4FD56766A}" name="Statement" dataDxfId="335">
      <calculatedColumnFormula>Stratgegy_OBJ_2[[#This Row],[Short Name]]&amp;": "&amp;Stratgegy_OBJ_2[[#This Row],[Description]]&amp;" (Objective targeted: "&amp;Stratgegy_OBJ_2[[#This Row],[Objective Targeted]]&amp;"; Date targeted: "&amp;TEXT(Stratgegy_OBJ_2[[#This Row],[Target Date]],"DD-MMM-YYYY")&amp;"; Cost: "&amp;TEXT(Stratgegy_OBJ_2[[#This Row],[Cost]],"$#,##0")&amp;")"</calculatedColumnFormula>
    </tableColumn>
  </tableColumns>
  <tableStyleInfo name="TableStyleLight8"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9F953930-1514-414F-AF8F-CEB6EDDF0635}" name="Organizational_9S" displayName="Organizational_9S" ref="A3:E12" totalsRowShown="0" headerRowDxfId="334" dataDxfId="333">
  <autoFilter ref="A3:E12" xr:uid="{9F953930-1514-414F-AF8F-CEB6EDDF0635}"/>
  <tableColumns count="5">
    <tableColumn id="1" xr3:uid="{CAD85686-7435-E448-8D08-EE7E8A65BDF7}" name="Feature" dataDxfId="332"/>
    <tableColumn id="2" xr3:uid="{0B97865B-CB7D-B74D-B263-8EC6A715A362}" name="Definition" dataDxfId="331"/>
    <tableColumn id="3" xr3:uid="{0FB68C11-0EE8-CA4B-BCD0-69AF6D59222F}" name="Baseline (Current) Description" dataDxfId="330"/>
    <tableColumn id="4" xr3:uid="{B3B79EC0-7A85-D94A-995C-C383F66E71F9}" name="Target Description" dataDxfId="329"/>
    <tableColumn id="5" xr3:uid="{10681DFD-5BC7-AA4C-A3B6-95AB9312EFB3}" name="Action to Target" dataDxfId="328"/>
  </tableColumns>
  <tableStyleInfo name="TableStyleLight8"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D18C9E63-976B-2741-BBD8-CA1B187703B8}" name="Stakeholder" displayName="Stakeholder" ref="A3:F19" totalsRowShown="0" headerRowDxfId="327" dataDxfId="326">
  <autoFilter ref="A3:F19" xr:uid="{D18C9E63-976B-2741-BBD8-CA1B187703B8}"/>
  <sortState xmlns:xlrd2="http://schemas.microsoft.com/office/spreadsheetml/2017/richdata2" ref="A4:F19">
    <sortCondition ref="F3:F19"/>
  </sortState>
  <tableColumns count="6">
    <tableColumn id="1" xr3:uid="{CFAB0AB6-7F2F-364B-B322-081EC8FB4F3B}" name="Stakeholder" dataDxfId="325"/>
    <tableColumn id="2" xr3:uid="{B3BF0987-4104-8D47-8CA8-DFEA9E2D2352}" name="Placement" dataDxfId="324"/>
    <tableColumn id="3" xr3:uid="{E692CF47-3E29-3D4C-BD10-924E9911EB35}" name="Interest" dataDxfId="323"/>
    <tableColumn id="4" xr3:uid="{AD6DE03B-D70F-9946-9B89-27598CBF469D}" name="Influence" dataDxfId="322"/>
    <tableColumn id="5" xr3:uid="{5AE4ED64-9682-264D-8A73-AB5DCE141E62}" name="Category" dataDxfId="321">
      <calculatedColumnFormula array="1">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calculatedColumnFormula>
    </tableColumn>
    <tableColumn id="6" xr3:uid="{DA006C47-772B-774F-B0B9-862519201880}" name="#" dataDxfId="320">
      <calculatedColumnFormula>_xlfn.XLOOKUP(Stakeholder[[#This Row],[Category]],StakeholderCategory[Category],StakeholderCategory['#])</calculatedColumnFormula>
    </tableColumn>
  </tableColumns>
  <tableStyleInfo name="TableStyleLight8"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53A6D4D-FEB4-974D-BB09-19C40EEB1F6F}" name="Dec_Support" displayName="Dec_Support" ref="A3:F25" totalsRowShown="0" headerRowDxfId="319" dataDxfId="318">
  <autoFilter ref="A3:F25" xr:uid="{0E422420-9086-E14B-99D0-1E748DECFACF}"/>
  <tableColumns count="6">
    <tableColumn id="1" xr3:uid="{64B017D2-1DF7-7A41-8DF9-DDE2441712D0}" name="#" dataDxfId="317"/>
    <tableColumn id="2" xr3:uid="{6041D0B6-1B2C-0441-AC78-D9B2618B0335}" name="Element" dataDxfId="316"/>
    <tableColumn id="3" xr3:uid="{E2EA0BD5-D61A-6146-925C-5DBB6DFDCF29}" name="Description" dataDxfId="315"/>
    <tableColumn id="4" xr3:uid="{98F10A4B-34A3-CF44-9D86-F977799FB94B}" name="Start" dataDxfId="314"/>
    <tableColumn id="5" xr3:uid="{385234CF-024E-CE49-8A3F-9E68EA918F93}" name="End" dataDxfId="313"/>
    <tableColumn id="6" xr3:uid="{E1A199DE-4E96-7547-9F67-8823BF5430D3}" name="Statement" dataDxfId="312">
      <calculatedColumnFormula>Dec_Support[[#This Row],[Description]]&amp;" (From "&amp;TEXT(Dec_Support[[#This Row],[Start]],"DD-MMM-YYYY")&amp;" to "&amp;TEXT(Dec_Support[[#This Row],[End]],"DD-MMM-YYYY")&amp;")"</calculatedColumnFormula>
    </tableColumn>
  </tableColumns>
  <tableStyleInfo name="TableStyleLight8"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FC5D9FF-4607-B04F-87FF-422D16AE60A9}" name="Evaluation_Score" displayName="Evaluation_Score" ref="E31:F40" totalsRowShown="0" headerRowDxfId="311" dataDxfId="310">
  <autoFilter ref="E31:F40" xr:uid="{CFC5D9FF-4607-B04F-87FF-422D16AE60A9}"/>
  <tableColumns count="2">
    <tableColumn id="1" xr3:uid="{19A26476-B4BA-F942-A734-05781A2A6BD9}" name="COAs" dataDxfId="309"/>
    <tableColumn id="2" xr3:uid="{C4EFE949-D187-1240-AB2B-E42754A3F011}" name="Total Score" dataDxfId="308">
      <calculatedColumnFormula>SUM(Evaluation_Eval[Total])</calculatedColumnFormula>
    </tableColumn>
  </tableColumns>
  <tableStyleInfo name="TableStyleLight8"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6C4D6ABF-94CD-7343-8179-B900399E9286}" name="Evaluation_Screen" displayName="Evaluation_Screen" ref="A4:G14" totalsRowShown="0" headerRowDxfId="307" dataDxfId="306" tableBorderDxfId="305">
  <autoFilter ref="A4:G14" xr:uid="{6C4D6ABF-94CD-7343-8179-B900399E9286}"/>
  <tableColumns count="7">
    <tableColumn id="1" xr3:uid="{78797343-60D9-C542-A1E8-26F144526673}" name="Criterion Short Title" dataDxfId="304"/>
    <tableColumn id="2" xr3:uid="{20635AA7-CE1C-2348-B671-35894D73C4C6}" name="Description" dataDxfId="303"/>
    <tableColumn id="3" xr3:uid="{F7BF7CB6-6F3C-8248-8F3B-AFFCB557DDBF}" name="Type" dataDxfId="302"/>
    <tableColumn id="4" xr3:uid="{CEA927E2-9316-6840-80F2-F23564878136}" name="Unit of Measure" dataDxfId="301"/>
    <tableColumn id="5" xr3:uid="{B45DFCD2-B196-3E4C-BF4B-5338ADBDB3D1}" name="Benchmark" dataDxfId="300"/>
    <tableColumn id="6" xr3:uid="{13640BC2-D717-904E-B445-EEA9CD1CBE0D}" name="Actual" dataDxfId="299"/>
    <tableColumn id="7" xr3:uid="{D6CD7086-77E7-3F4F-BC53-5C389F168D7C}" name="Screened-in" dataDxfId="298"/>
  </tableColumns>
  <tableStyleInfo name="TableStyleLight8"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75ECFB0D-7E5C-0143-AA21-B136071E1421}" name="Evaluation_Eval" displayName="Evaluation_Eval" ref="A18:F28" totalsRowShown="0" headerRowDxfId="297" dataDxfId="296" tableBorderDxfId="295">
  <autoFilter ref="A18:F28" xr:uid="{75ECFB0D-7E5C-0143-AA21-B136071E1421}"/>
  <tableColumns count="6">
    <tableColumn id="1" xr3:uid="{741C6298-55E7-5642-9AE8-4156315526D8}" name="Criterion Short Title" dataDxfId="294"/>
    <tableColumn id="2" xr3:uid="{189FDFFE-A2B8-0E41-B772-2630FC5AC00D}" name="Description" dataDxfId="293"/>
    <tableColumn id="3" xr3:uid="{BEB44E2C-27FE-6542-A642-0ECCCDFA7889}" name="Unit of Measure" dataDxfId="292"/>
    <tableColumn id="4" xr3:uid="{A700815B-5A4C-ED40-A29A-6098C2CAE720}" name="Actual" dataDxfId="291"/>
    <tableColumn id="5" xr3:uid="{0021C392-86AA-834D-90F1-63B831280665}" name="Weight" dataDxfId="290"/>
    <tableColumn id="6" xr3:uid="{22CB2B83-0A34-E849-864D-0AA1D1DD810A}" name="Total" dataDxfId="289">
      <calculatedColumnFormula>'20. Evaluation'!$D19*'20. Evaluation'!$E19</calculatedColumnFormula>
    </tableColumn>
  </tableColumns>
  <tableStyleInfo name="TableStyleLight8"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41E686B-97A2-1D45-92B2-4B730EFFAF77}" name="Sync_Matrix" displayName="Sync_Matrix" ref="A3:J23" totalsRowShown="0" headerRowDxfId="288" dataDxfId="287">
  <autoFilter ref="A3:J23" xr:uid="{641E686B-97A2-1D45-92B2-4B730EFFAF77}"/>
  <tableColumns count="10">
    <tableColumn id="1" xr3:uid="{6C09A635-ADDD-E540-8A90-F3D5533BC98A}" name="Event" dataDxfId="286"/>
    <tableColumn id="2" xr3:uid="{9255CE72-2D0C-DF4E-B566-83F6E11F6F45}" name="Time" dataDxfId="285"/>
    <tableColumn id="3" xr3:uid="{FFA8530C-98C5-9D4D-8A75-433775E0A459}" name="Phase" dataDxfId="284"/>
    <tableColumn id="4" xr3:uid="{81601247-E992-9648-9E62-99674F096892}" name="Organization's Action" dataDxfId="283"/>
    <tableColumn id="5" xr3:uid="{EB6FD6F1-D574-0A40-85C4-2EBB5939907F}" name="Environments Re-Action" dataDxfId="282"/>
    <tableColumn id="6" xr3:uid="{C2A717BE-EBBF-024A-A114-EBC47B725DB0}" name="Organization's Counter-Action" dataDxfId="281"/>
    <tableColumn id="7" xr3:uid="{CECD44F8-29C7-C644-A62E-409BCB65F49A}" name="Decision Points" dataDxfId="280"/>
    <tableColumn id="8" xr3:uid="{34B34CB0-2635-4F4B-834E-8F4700358EBC}" name="Means" dataDxfId="279"/>
    <tableColumn id="9" xr3:uid="{640B827F-1CD0-594A-AEFC-51929CFC5815}" name="Advantage and Disadvantages" dataDxfId="278"/>
    <tableColumn id="10" xr3:uid="{A0D4C487-F63B-D64A-B10F-7BC8C59AA000}" name="Information Gaps and Assumptions Made" dataDxfId="277"/>
  </tableColumns>
  <tableStyleInfo name="TableStyleLight8"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7E0AD3BE-515D-DC4B-9F82-0880EE6FCF86}" name="RiskRegister" displayName="RiskRegister" ref="A4:S14" totalsRowShown="0" headerRowDxfId="276" dataDxfId="275" tableBorderDxfId="274">
  <autoFilter ref="A4:S14" xr:uid="{7E0AD3BE-515D-DC4B-9F82-0880EE6FCF86}"/>
  <tableColumns count="19">
    <tableColumn id="14" xr3:uid="{01FAEE47-F319-2E4D-AA64-C9CC45AB8011}" name="Risk Short Name" dataDxfId="273"/>
    <tableColumn id="1" xr3:uid="{93EABC10-8064-664A-ACD5-DB4A380B9935}" name="Risk Description" dataDxfId="272"/>
    <tableColumn id="2" xr3:uid="{5692B41C-5357-0647-BD32-D89977C55387}" name="Risk Category" dataDxfId="271"/>
    <tableColumn id="3" xr3:uid="{3582CB76-7CCD-3247-9534-02C2D9443F20}" name="Risk Type" dataDxfId="270"/>
    <tableColumn id="4" xr3:uid="{18919E29-3FE1-A04D-A922-DEB3843AE847}" name="Objective(s) Impacted" dataDxfId="269"/>
    <tableColumn id="7" xr3:uid="{278FF9D5-6409-FF48-A982-E403AB2E32F0}" name="Outcome (undesired event)" dataDxfId="268"/>
    <tableColumn id="6" xr3:uid="{F9458C9B-36E5-ED49-A70D-D96B0FCFDEE6}" name="Mechanism (effect)" dataDxfId="267"/>
    <tableColumn id="5" xr3:uid="{83138AB7-84DC-904B-9CD5-80677A5DF6CD}" name="Source (Cause)" dataDxfId="266"/>
    <tableColumn id="8" xr3:uid="{4D8687C1-74C7-C642-BCCE-566C852BB366}" name="Consequence" dataDxfId="265"/>
    <tableColumn id="9" xr3:uid="{40C6D872-B3AA-D546-858D-307C0F0D7E72}" name="Probability" dataDxfId="264"/>
    <tableColumn id="10" xr3:uid="{EB8F4B13-EFED-1747-9AF6-05C2B311DA0F}" name="Initial Risk Level" dataDxfId="263">
      <calculatedColumnFormula>IF(AND(RiskRegister[[#This Row],[Consequence]]&lt;&gt;"",RiskRegister[[#This Row],[Probability]]&lt;&gt;""),VLOOKUP(RiskRegister[[#This Row],[Consequence]],RiskMatrix[],MATCH(RiskRegister[[#This Row],[Probability]],RiskMatrix[#Headers],0),0),"")</calculatedColumnFormula>
    </tableColumn>
    <tableColumn id="11" xr3:uid="{15BDFFB6-DE11-CC42-8A9D-CF7F94C0E4F1}" name="Control Type" dataDxfId="262"/>
    <tableColumn id="16" xr3:uid="{CA674E74-01B3-B64F-8925-F64118A9726C}" name="Description" dataDxfId="261"/>
    <tableColumn id="12" xr3:uid="{167BD6E7-26DD-3846-862E-FC72A794B0E6}" name="Implementation" dataDxfId="260"/>
    <tableColumn id="17" xr3:uid="{5AD3DA4E-FE88-F041-A4AA-5C43AF35014F}" name="Residual Consequence" dataDxfId="259"/>
    <tableColumn id="18" xr3:uid="{2E4BE91F-0EA9-9F48-88FA-BF1A14F5E93D}" name="Residual Probability" dataDxfId="258"/>
    <tableColumn id="20" xr3:uid="{4D24209F-EDE2-3040-8CD7-F5DA97FA0E37}" name="Residucal Risk Level" dataDxfId="257">
      <calculatedColumnFormula>IF(AND(RiskRegister[[#This Row],[Residual Consequence]]&lt;&gt;"",RiskRegister[[#This Row],[Residual Probability]]&lt;&gt;""),VLOOKUP(RiskRegister[[#This Row],[Residual Consequence]],RiskMatrix[],MATCH(RiskRegister[[#This Row],[Residual Probability]],RiskMatrix[#Headers],0),0),"")</calculatedColumnFormula>
    </tableColumn>
    <tableColumn id="15" xr3:uid="{D3F5CE0E-EE15-2944-BCCB-A88D522E76C6}" name="Risk Acceptance" dataDxfId="256"/>
    <tableColumn id="21" xr3:uid="{B9DE5D93-1F45-3C45-9CDE-156AE0D1A3DB}" name="Statement" dataDxfId="255">
      <calculatedColumnFormula>RiskRegister[[#This Row],[Risk Short Name]]&amp;" (Category: "&amp;RiskRegister[[#This Row],[Risk Category]]&amp;"-"&amp;RiskRegister[[#This Row],[Risk Type]]&amp;"): "&amp;RiskRegister[[#This Row],[Risk Description]]&amp;" (Risk Control: "&amp;RiskRegister[[#This Row],[Control Type]]&amp;"-"&amp;RiskRegister[[#This Row],[Implementation]]&amp;") (Residual Risk Level: "&amp;RiskRegister[[#This Row],[Residucal Risk Level]]&amp;"; Accept: "&amp;RiskRegister[[#This Row],[Risk Acceptance]]&amp;")"</calculatedColumnFormula>
    </tableColumn>
  </tableColumns>
  <tableStyleInfo name="TableStyleLight8"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3AB1196E-D9D4-544A-9939-373F0C8C3FFE}" name="Assessment" displayName="Assessment" ref="A3:E42" totalsRowShown="0" headerRowDxfId="254" dataDxfId="253">
  <autoFilter ref="A3:E42" xr:uid="{3AB1196E-D9D4-544A-9939-373F0C8C3FFE}"/>
  <tableColumns count="5">
    <tableColumn id="1" xr3:uid="{43994483-6201-4B4E-A364-571EEC18D890}" name="Indictor Short Name" dataDxfId="252"/>
    <tableColumn id="2" xr3:uid="{91B85C0E-FA78-C94F-8CF6-C97098B85F86}" name="Indicator Description" dataDxfId="251"/>
    <tableColumn id="3" xr3:uid="{BA116E8C-DD54-E94A-869B-AAB4ED42F4CE}" name="Type" dataDxfId="250"/>
    <tableColumn id="4" xr3:uid="{5E91877F-BDDF-244D-A5C2-455574994F62}" name="Aim Measured" dataDxfId="249"/>
    <tableColumn id="5" xr3:uid="{95F027A3-484B-3444-88A3-2E426F33FDA2}" name="Target Date" dataDxfId="248"/>
  </tableColumns>
  <tableStyleInfo name="TableStyleLight8"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056C578-7520-D746-BFDB-4FA515422C31}" name="Strategy_Goals" displayName="Strategy_Goals" ref="CE2:CF5" totalsRowShown="0" headerRowDxfId="247" dataDxfId="246">
  <autoFilter ref="CE2:CF5" xr:uid="{1056C578-7520-D746-BFDB-4FA515422C31}"/>
  <tableColumns count="2">
    <tableColumn id="1" xr3:uid="{39FF3584-39F4-DB45-8117-AB43BB9939A6}" name="Strategic Goals" dataDxfId="245"/>
    <tableColumn id="2" xr3:uid="{BF6256C1-5B15-8D4E-A584-A44345EB3EEB}" name="Description" dataDxfId="244"/>
  </tableColumns>
  <tableStyleInfo name="TableStyleLight1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053BC0-D708-2E45-94A8-7EB7240168AC}" name="Table80614" displayName="Table80614" ref="CH2:CI4" totalsRowShown="0" headerRowDxfId="243" dataDxfId="242">
  <autoFilter ref="CH2:CI4" xr:uid="{23053BC0-D708-2E45-94A8-7EB7240168AC}"/>
  <tableColumns count="2">
    <tableColumn id="2" xr3:uid="{FB077327-594E-5440-8D07-D3CC7461A22F}" name="Objectives" dataDxfId="241"/>
    <tableColumn id="1" xr3:uid="{A6BCF569-884B-B44C-B922-1F4C1A3D91FF}" name="Description" dataDxfId="240"/>
  </tableColumns>
  <tableStyleInfo name="TableStyleLight1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FF580DB0-13BD-2C4F-B59E-50E671BD30E9}" name="Strategy_Key_Activitites" displayName="Strategy_Key_Activitites" ref="CN2:CO4" totalsRowShown="0" headerRowDxfId="239" dataDxfId="238">
  <autoFilter ref="CN2:CO4" xr:uid="{FF580DB0-13BD-2C4F-B59E-50E671BD30E9}"/>
  <tableColumns count="2">
    <tableColumn id="3" xr3:uid="{63E2634F-A4D2-8549-8D98-85BF27E06140}" name="Key Activities" dataDxfId="237"/>
    <tableColumn id="1" xr3:uid="{89FB146F-E740-7C4D-AFCC-3F06DFD0B1E6}" name="Description" dataDxfId="236"/>
  </tableColumns>
  <tableStyleInfo name="TableStyleLight1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AC7EDFFB-E9B8-704D-9F07-012246DD9D6E}" name="SWOT_Category" displayName="SWOT_Category" ref="AU2:AW6" totalsRowShown="0" headerRowDxfId="235" dataDxfId="234">
  <autoFilter ref="AU2:AW6" xr:uid="{AC7EDFFB-E9B8-704D-9F07-012246DD9D6E}"/>
  <tableColumns count="3">
    <tableColumn id="3" xr3:uid="{3B4C0B0F-955C-204A-B4ED-B66488B6A415}" name="#" dataDxfId="233"/>
    <tableColumn id="4" xr3:uid="{7BC4D732-6BA9-934B-A76D-6C67B40F7BA0}" name="Category" dataDxfId="232"/>
    <tableColumn id="2" xr3:uid="{A4E11B47-A820-164A-8E60-0D5BB6E8D9F8}" name="Description" dataDxfId="231"/>
  </tableColumns>
  <tableStyleInfo name="TableStyleLight1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81D14306-84E5-8941-8790-D814162406C3}" name="SWOTPrioritization" displayName="SWOTPrioritization" ref="BB2:BD5" totalsRowShown="0" headerRowDxfId="230" dataDxfId="229">
  <autoFilter ref="BB2:BD5" xr:uid="{81D14306-84E5-8941-8790-D814162406C3}"/>
  <tableColumns count="3">
    <tableColumn id="1" xr3:uid="{74E1AAC2-BA6C-F148-9671-6CC4B1A40E50}" name="#" dataDxfId="228"/>
    <tableColumn id="2" xr3:uid="{A32282F8-5815-9D4F-B2CB-9770C3F24587}" name="Value, Impact, &amp; Power" dataDxfId="227"/>
    <tableColumn id="3" xr3:uid="{E5ABCBAF-A58D-9940-9D81-A86B1134D7D0}" name="Probability" dataDxfId="226"/>
  </tableColumns>
  <tableStyleInfo name="TableStyleLight1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59B1A773-A90D-EC43-8749-60CB1AE865DF}" name="CBA_Solution" displayName="CBA_Solution" ref="CB2:CC6" totalsRowShown="0" headerRowDxfId="225" dataDxfId="224">
  <autoFilter ref="CB2:CC6" xr:uid="{59B1A773-A90D-EC43-8749-60CB1AE865DF}"/>
  <tableColumns count="2">
    <tableColumn id="1" xr3:uid="{A60649F6-98AA-2541-83D6-BC27D8FD5B49}" name="Solution" dataDxfId="223"/>
    <tableColumn id="2" xr3:uid="{90BCB736-A60E-BE41-9786-9E7B354314DD}" name="Description" dataDxfId="222"/>
  </tableColumns>
  <tableStyleInfo name="TableStyleLight1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51B9046B-5D68-4C4F-AED6-9698691272D4}" name="CBA_Capability_Analysis" displayName="CBA_Capability_Analysis" ref="BQ2:BR7" totalsRowShown="0" headerRowDxfId="221" dataDxfId="220">
  <autoFilter ref="BQ2:BR7" xr:uid="{51B9046B-5D68-4C4F-AED6-9698691272D4}"/>
  <tableColumns count="2">
    <tableColumn id="1" xr3:uid="{9CEDDFF9-A0FB-EF44-AF7F-80ABF78B08B4}" name="Capability Analysis" dataDxfId="219"/>
    <tableColumn id="2" xr3:uid="{47517A98-1305-6A45-9659-079AA7490D3D}" name="Description" dataDxfId="218"/>
  </tableColumns>
  <tableStyleInfo name="TableStyleLight1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7EBB30D9-EA33-9E47-9583-08EBCA2D3D45}" name="CBA_Capability_Characterization" displayName="CBA_Capability_Characterization" ref="BT2:BU8" totalsRowShown="0" headerRowDxfId="217" dataDxfId="216">
  <autoFilter ref="BT2:BU8" xr:uid="{7EBB30D9-EA33-9E47-9583-08EBCA2D3D45}"/>
  <tableColumns count="2">
    <tableColumn id="1" xr3:uid="{E5782AD0-DBDD-2449-AD12-24DC15E49548}" name="Capability Characterization" dataDxfId="215"/>
    <tableColumn id="2" xr3:uid="{64EB0629-2090-C54E-B159-87A843586822}" name="Description" dataDxfId="214"/>
  </tableColumns>
  <tableStyleInfo name="TableStyleLight1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668398F3-A3A0-4E47-B78D-DF95F2289AD4}" name="CBA_Capability_Risk" displayName="CBA_Capability_Risk" ref="BW2:BX6" totalsRowShown="0" headerRowDxfId="213" dataDxfId="212">
  <autoFilter ref="BW2:BX6" xr:uid="{668398F3-A3A0-4E47-B78D-DF95F2289AD4}"/>
  <tableColumns count="2">
    <tableColumn id="1" xr3:uid="{046BAD2D-0EA9-FD46-BF9A-A9AA0A3B0764}" name="CRA" dataDxfId="211"/>
    <tableColumn id="2" xr3:uid="{9FDE1712-23B0-EB40-B78B-F696BE6F11CE}" name="Decription" dataDxfId="210"/>
  </tableColumns>
  <tableStyleInfo name="TableStyleLight11"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80857BFB-C5E6-E147-90B3-35B69F0D0A20}" name="ProductionStage" displayName="ProductionStage" ref="BN2:BO8" totalsRowShown="0" headerRowDxfId="209" dataDxfId="208">
  <autoFilter ref="BN2:BO8" xr:uid="{80857BFB-C5E6-E147-90B3-35B69F0D0A20}"/>
  <tableColumns count="2">
    <tableColumn id="1" xr3:uid="{5063E8AC-9627-9F4D-9CBD-A840504F430B}" name="Production Stage" dataDxfId="207"/>
    <tableColumn id="2" xr3:uid="{21D35524-C132-E449-A43E-AB7EAFAF5035}" name="Description" dataDxfId="206"/>
  </tableColumns>
  <tableStyleInfo name="TableStyleLight11"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C57EFED5-EA19-B949-B7A5-4686BCB5159D}" name="FutureTypes73108113" displayName="FutureTypes73108113" ref="AR2:AS5" totalsRowShown="0" headerRowDxfId="205" dataDxfId="204">
  <autoFilter ref="AR2:AS5" xr:uid="{22C15067-1CB4-3E4F-A119-F7D2942847F6}"/>
  <tableColumns count="2">
    <tableColumn id="1" xr3:uid="{091421E3-E1D0-764A-A3CD-974ABA5DE3E9}" name="Future Types" dataDxfId="203"/>
    <tableColumn id="2" xr3:uid="{7549FD68-41E5-074A-8030-D078323F2F8A}" name="Descriptions" dataDxfId="202"/>
  </tableColumns>
  <tableStyleInfo name="TableStyleLight1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58AFB5E7-F445-3343-8F37-5A2A9A8797BC}" name="DriverClassification" displayName="DriverClassification" ref="AE2:AG5" totalsRowShown="0" headerRowDxfId="201" dataDxfId="200">
  <autoFilter ref="AE2:AG5" xr:uid="{58AFB5E7-F445-3343-8F37-5A2A9A8797BC}"/>
  <tableColumns count="3">
    <tableColumn id="1" xr3:uid="{9A8F21B4-7187-2D46-8CA3-8CC884EEAACA}" name="Trend Classifcation" dataDxfId="199"/>
    <tableColumn id="3" xr3:uid="{D5A1798F-78F7-AD4B-AFA3-2B86E3083B7F}" name="Key Driver" dataDxfId="198"/>
    <tableColumn id="2" xr3:uid="{1B817B3F-6703-264A-8E35-A206EC6CCE2B}" name="Description" dataDxfId="197"/>
  </tableColumns>
  <tableStyleInfo name="TableStyleLight1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10AF38E7-4BCB-8A42-8550-47E15A8E9787}" name="Table57" displayName="Table57" ref="AI2:AJ5" totalsRowShown="0" headerRowDxfId="196" dataDxfId="195">
  <autoFilter ref="AI2:AJ5" xr:uid="{10AF38E7-4BCB-8A42-8550-47E15A8E9787}"/>
  <tableColumns count="2">
    <tableColumn id="1" xr3:uid="{8ABFA4A2-2936-6E45-92B3-4A6DCCF75760}" name="Assessment Total" dataDxfId="194"/>
    <tableColumn id="2" xr3:uid="{58DAD4B2-4DE0-C849-95E7-B03A2118C8F3}" name="Action to Take" dataDxfId="193"/>
  </tableColumns>
  <tableStyleInfo name="TableStyleLight11"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2CC44B46-37A3-9347-8D34-1E730402DFFD}" name="Driver_SE_Certainty" displayName="Driver_SE_Certainty" ref="M2:N6" totalsRowShown="0" headerRowDxfId="192" dataDxfId="191">
  <autoFilter ref="M2:N6" xr:uid="{4DC984D7-845F-BA41-B247-90AF4DDB96E5}"/>
  <tableColumns count="2">
    <tableColumn id="1" xr3:uid="{DDDED59C-729F-C244-9DB0-69742D9B4344}" name="SE Certainty" dataDxfId="190"/>
    <tableColumn id="2" xr3:uid="{E1FA6AD9-D5BE-5C42-9CFA-D11FEEA078B4}" name="Description" dataDxfId="189"/>
  </tableColumns>
  <tableStyleInfo name="TableStyleLight1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AE8DC5A9-73AC-AA44-80B5-8A3BF3EBA331}" name="Driver_OA_Impact" displayName="Driver_OA_Impact" ref="P2:Q5" totalsRowShown="0" headerRowDxfId="188" dataDxfId="187">
  <autoFilter ref="P2:Q5" xr:uid="{4A0F9019-F4BA-8C41-8208-F486FE987EBD}"/>
  <tableColumns count="2">
    <tableColumn id="1" xr3:uid="{291748DA-05E5-8541-81DE-7BDE65F598E9}" name="OA Impact" dataDxfId="186"/>
    <tableColumn id="2" xr3:uid="{9218F056-3F6A-114F-8A6D-4986AA95ED18}" name="Description" dataDxfId="185"/>
  </tableColumns>
  <tableStyleInfo name="TableStyleLight1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5EC68899-4CCD-D54B-A2A6-508A988DE779}" name="Driver_Nature" displayName="Driver_Nature" ref="S2:S5" totalsRowShown="0" headerRowDxfId="184" dataDxfId="183">
  <autoFilter ref="S2:S5" xr:uid="{817590BA-4D93-264E-8F2C-F0AAD219A072}"/>
  <tableColumns count="1">
    <tableColumn id="1" xr3:uid="{B8B23AA7-0AB6-6B4A-B2CA-3F66BD27DDC9}" name="Nature" dataDxfId="182"/>
  </tableColumns>
  <tableStyleInfo name="TableStyleLight1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FD7A65FB-E73B-CE49-8636-2259DBF39A13}" name="Driver_Classification" displayName="Driver_Classification" ref="U2:W6" totalsRowShown="0" headerRowDxfId="181" dataDxfId="180">
  <autoFilter ref="U2:W6" xr:uid="{34EB6C26-4264-E145-9167-48B33B16E93B}"/>
  <tableColumns count="3">
    <tableColumn id="1" xr3:uid="{D3C9B24E-F348-1C42-A872-79A5B9381EA6}" name="Driver Classifcation" dataDxfId="179"/>
    <tableColumn id="3" xr3:uid="{4D32F11B-B5BF-D049-B679-C8AA13C02F09}" name="Key Driver" dataDxfId="178"/>
    <tableColumn id="2" xr3:uid="{149BA2FE-B9F6-554F-B32C-D8B9427B48C0}" name="Description" dataDxfId="177"/>
  </tableColumns>
  <tableStyleInfo name="TableStyleLight11"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A5A70A3D-A2D7-2E49-8CFE-C927223B331B}" name="Driver_Classifcation2" displayName="Driver_Classifcation2" ref="Y2:AC5" totalsRowShown="0" headerRowDxfId="176" dataDxfId="174" headerRowBorderDxfId="175" tableBorderDxfId="173" totalsRowBorderDxfId="172">
  <autoFilter ref="Y2:AC5" xr:uid="{5FDE0967-1456-F34A-A7D1-E19B8A10E12A}"/>
  <tableColumns count="5">
    <tableColumn id="1" xr3:uid="{AFB763F8-541A-CD4A-B8B4-0F73F5D7EE5B}" name="Matrix" dataDxfId="171"/>
    <tableColumn id="2" xr3:uid="{75E1C6C5-DF23-3141-A5AB-1CC540AD8E35}" name="Possible" dataDxfId="170"/>
    <tableColumn id="3" xr3:uid="{783A1E06-01B9-1F45-9C66-77F3E9185F1A}" name="Plausible" dataDxfId="169"/>
    <tableColumn id="4" xr3:uid="{A4C0F4FC-21E2-5E40-BC22-4058DA71CD46}" name="Probable" dataDxfId="168"/>
    <tableColumn id="5" xr3:uid="{15A30244-862B-B540-9346-0EE60213B7D7}" name="Pre-Determined" dataDxfId="167"/>
  </tableColumns>
  <tableStyleInfo name="TableStyleLight1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B928CF0-13C3-8441-A929-5CA6CEE91945}" name="Forces_List" displayName="Forces_List" ref="J2:K9" totalsRowShown="0" headerRowDxfId="166" dataDxfId="165">
  <autoFilter ref="J2:K9" xr:uid="{2B2D284F-D281-D54C-AD69-16138AF1BDA3}"/>
  <tableColumns count="2">
    <tableColumn id="1" xr3:uid="{B64238FB-4D3A-7642-8644-D99096F10FF6}" name="Forces" dataDxfId="164"/>
    <tableColumn id="2" xr3:uid="{1C4C401A-B9FC-7446-9FAB-90740FE3E63C}" name="#" dataDxfId="163"/>
  </tableColumns>
  <tableStyleInfo name="TableStyleLight11"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7B3F8E51-179F-2D48-BED4-67255FDD2886}" name="CIRT_Categories" displayName="CIRT_Categories" ref="H2:H8" totalsRowShown="0" headerRowDxfId="162">
  <autoFilter ref="H2:H8" xr:uid="{7B3F8E51-179F-2D48-BED4-67255FDD2886}"/>
  <tableColumns count="1">
    <tableColumn id="1" xr3:uid="{824082F6-1CAC-A644-9295-3FE479E22EB5}" name="Category"/>
  </tableColumns>
  <tableStyleInfo name="TableStyleLight11"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716B87B-19B2-D543-9625-C3F467C0D8B4}" name="CBA_Status" displayName="CBA_Status" ref="BZ2:BZ6" totalsRowShown="0" headerRowDxfId="161" dataDxfId="160" tableBorderDxfId="159">
  <autoFilter ref="BZ2:BZ6" xr:uid="{A716B87B-19B2-D543-9625-C3F467C0D8B4}"/>
  <tableColumns count="1">
    <tableColumn id="1" xr3:uid="{0C35C595-AD33-A34D-8E36-43C203408F72}" name="Capability Status" dataDxfId="158"/>
  </tableColumns>
  <tableStyleInfo name="TableStyleLight11"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BE396A7-8AF0-3242-9771-9CFD9BA0D903}" name="FAO_Labels" displayName="FAO_Labels" ref="F2:F5" totalsRowShown="0" headerRowDxfId="157" dataDxfId="156">
  <autoFilter ref="F2:F5" xr:uid="{7BE396A7-8AF0-3242-9771-9CFD9BA0D903}"/>
  <tableColumns count="1">
    <tableColumn id="1" xr3:uid="{050A5AC8-6B15-0C4C-B1A0-F1C26A0FC042}" name="Label" dataDxfId="155"/>
  </tableColumns>
  <tableStyleInfo name="TableStyleLight11"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EE85F0A-5BB3-6943-8C44-3A8895AB4BEB}" name="Actor_Class" displayName="Actor_Class" ref="BF2:BG5" totalsRowShown="0" headerRowDxfId="154" dataDxfId="153">
  <autoFilter ref="BF2:BG5" xr:uid="{6EE85F0A-5BB3-6943-8C44-3A8895AB4BEB}"/>
  <tableColumns count="2">
    <tableColumn id="1" xr3:uid="{07CAF197-68A8-D741-AD3E-B677395A052E}" name="Actor Classification" dataDxfId="152"/>
    <tableColumn id="2" xr3:uid="{D39FE2F0-378B-4C47-B7DC-35DD3702B20F}" name="Description" dataDxfId="151"/>
  </tableColumns>
  <tableStyleInfo name="TableStyleLight11"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D4EE5C5-6FEF-2347-A99B-BB261F69B650}" name="Actor_Description" displayName="Actor_Description" ref="BI2:BJ6" totalsRowShown="0" headerRowDxfId="150" dataDxfId="149">
  <autoFilter ref="BI2:BJ6" xr:uid="{1D4EE5C5-6FEF-2347-A99B-BB261F69B650}"/>
  <tableColumns count="2">
    <tableColumn id="1" xr3:uid="{323DE944-C009-F647-AFC6-15E9DAC131BF}" name="Actor Disposition" dataDxfId="148"/>
    <tableColumn id="2" xr3:uid="{1C9D55D7-93B5-F847-90D0-EDAC46608D24}" name="Description" dataDxfId="147"/>
  </tableColumns>
  <tableStyleInfo name="TableStyleLight11"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8B34626-6184-5345-BFC7-39DE8116CC60}" name="CBA_Item_Origin" displayName="CBA_Item_Origin" ref="BL2:BL4" totalsRowShown="0" headerRowDxfId="146" dataDxfId="145">
  <autoFilter ref="BL2:BL4" xr:uid="{48B34626-6184-5345-BFC7-39DE8116CC60}"/>
  <tableColumns count="1">
    <tableColumn id="1" xr3:uid="{A876B0F7-7373-CC46-91CC-CACFBBB071D5}" name="Origination (Source) of Item" dataDxfId="144"/>
  </tableColumns>
  <tableStyleInfo name="TableStyleLight1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A811EC0-6087-1047-91CE-2D8BB95B3DEF}" name="SWOT_CBA_Advantage" displayName="SWOT_CBA_Advantage" ref="AY2:AZ5" totalsRowShown="0" headerRowDxfId="143" dataDxfId="142">
  <autoFilter ref="AY2:AZ5" xr:uid="{8A811EC0-6087-1047-91CE-2D8BB95B3DEF}"/>
  <tableColumns count="2">
    <tableColumn id="2" xr3:uid="{4F654A7E-E524-4742-B63A-D257237B9ECC}" name="Advantage" dataDxfId="141"/>
    <tableColumn id="1" xr3:uid="{D27D3A5A-7CA8-D94A-ADE7-156A61C567A7}" name="Description" dataDxfId="140"/>
  </tableColumns>
  <tableStyleInfo name="TableStyleLight11"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1874533-24CA-5944-9612-C36EE8AD5E9F}" name="Strategy_Indicators" displayName="Strategy_Indicators" ref="CK2:CL4" totalsRowShown="0" headerRowDxfId="139" dataDxfId="138">
  <autoFilter ref="CK2:CL4" xr:uid="{B1874533-24CA-5944-9612-C36EE8AD5E9F}"/>
  <tableColumns count="2">
    <tableColumn id="3" xr3:uid="{90126253-0CC8-744F-8960-66CF159C967B}" name="Indicators" dataDxfId="137"/>
    <tableColumn id="1" xr3:uid="{0FD8A192-FD39-7345-960A-E4765369123C}" name="Description" dataDxfId="136"/>
  </tableColumns>
  <tableStyleInfo name="TableStyleLight11"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B1D249F9-15BF-C04F-BB89-7167305BCB03}" name="Stakeholder_Placement" displayName="Stakeholder_Placement" ref="CQ2:CQ4" totalsRowShown="0" headerRowDxfId="135" dataDxfId="134">
  <autoFilter ref="CQ2:CQ4" xr:uid="{B1D249F9-15BF-C04F-BB89-7167305BCB03}"/>
  <tableColumns count="1">
    <tableColumn id="1" xr3:uid="{74456E0C-AB3B-A448-9852-54C1EBC9022A}" name="Placement" dataDxfId="133"/>
  </tableColumns>
  <tableStyleInfo name="TableStyleLight11"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56C89EFC-CE39-4A49-A7AF-FB56F2327A65}" name="StakeholderCategory" displayName="StakeholderCategory" ref="CS2:CZ6" totalsRowShown="0" headerRowDxfId="132" dataDxfId="131">
  <autoFilter ref="CS2:CZ6" xr:uid="{56C89EFC-CE39-4A49-A7AF-FB56F2327A65}"/>
  <tableColumns count="8">
    <tableColumn id="8" xr3:uid="{BCCB3729-367B-4B45-9B11-7BB2E3C5D90A}" name="#" dataDxfId="130"/>
    <tableColumn id="1" xr3:uid="{6BC19695-E7E8-E041-9021-6D6B39936D07}" name="Category" dataDxfId="129"/>
    <tableColumn id="3" xr3:uid="{9546D8A6-5EFF-1C44-8D2A-C04DCEA9017F}" name="Quadrant" dataDxfId="128"/>
    <tableColumn id="2" xr3:uid="{75E23D2A-C5CA-A946-9DC0-C3F93B263BA9}" name="Action" dataDxfId="127"/>
    <tableColumn id="4" xr3:uid="{019E7571-7300-DE48-BF9E-2DEB4351D3A7}" name="Interest Min" dataDxfId="126"/>
    <tableColumn id="5" xr3:uid="{55BFBB41-5A8A-094C-825C-FD64639A87B9}" name="Interest Max" dataDxfId="125"/>
    <tableColumn id="6" xr3:uid="{8C689067-E84E-724A-BD8F-CA1DF17EA08E}" name="Influence Min" dataDxfId="124"/>
    <tableColumn id="7" xr3:uid="{620B444D-6415-784E-B981-090836A0238D}" name="Influence Max" dataDxfId="123"/>
  </tableColumns>
  <tableStyleInfo name="TableStyleLight11"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AAE5C74D-2B42-354D-A8D3-82DE3C9E7C01}" name="DSTElements" displayName="DSTElements" ref="DB2:DC9" totalsRowShown="0" headerRowDxfId="122" dataDxfId="121">
  <autoFilter ref="DB2:DC9" xr:uid="{AAE5C74D-2B42-354D-A8D3-82DE3C9E7C01}"/>
  <tableColumns count="2">
    <tableColumn id="1" xr3:uid="{33DD6D15-2CF6-2949-9C96-2A2BB1CB3978}" name="Element" dataDxfId="120"/>
    <tableColumn id="2" xr3:uid="{97BE4D9A-1287-CB4D-9C65-DDAFD3FECF60}" name="Description" dataDxfId="119"/>
  </tableColumns>
  <tableStyleInfo name="TableStyleLight11"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4C5DAB33-C836-894A-B46C-3B5D6AF3B0FF}" name="ScreeningCriteria" displayName="ScreeningCriteria" ref="DE2:DE5" totalsRowShown="0" headerRowDxfId="118" dataDxfId="117">
  <autoFilter ref="DE2:DE5" xr:uid="{4C5DAB33-C836-894A-B46C-3B5D6AF3B0FF}"/>
  <tableColumns count="1">
    <tableColumn id="1" xr3:uid="{47499831-0BD5-D049-96E6-67BC7045B015}" name="Screening Criteria" dataDxfId="116"/>
  </tableColumns>
  <tableStyleInfo name="TableStyleLight11"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C6A7E8E6-4BA8-A741-87FF-3EF21E7C233F}" name="RiskLevels" displayName="RiskLevels" ref="DG24:DH28" totalsRowShown="0" headerRowDxfId="115" dataDxfId="114">
  <autoFilter ref="DG24:DH28" xr:uid="{C6A7E8E6-4BA8-A741-87FF-3EF21E7C233F}"/>
  <tableColumns count="2">
    <tableColumn id="1" xr3:uid="{CD9A7C54-C29D-F041-9D77-20FAC3DDB1D6}" name="Risk Levels" dataDxfId="113"/>
    <tableColumn id="2" xr3:uid="{73A402D3-B305-A74A-8812-D6D946A65038}" name="Description" dataDxfId="112"/>
  </tableColumns>
  <tableStyleInfo name="TableStyleLight11"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20AA9882-EBDC-E24F-854C-3BC9DA709F24}" name="RiskConsequence" displayName="RiskConsequence" ref="DG11:DH15" totalsRowShown="0" headerRowDxfId="111" dataDxfId="110">
  <autoFilter ref="DG11:DH15" xr:uid="{20AA9882-EBDC-E24F-854C-3BC9DA709F24}"/>
  <tableColumns count="2">
    <tableColumn id="1" xr3:uid="{A4E903D6-E7B0-D940-BBB5-A57E4018BC8C}" name="Consequence" dataDxfId="109"/>
    <tableColumn id="2" xr3:uid="{13242F45-12C9-9442-BA54-DF6A2D84EDF4}" name="Description" dataDxfId="108"/>
  </tableColumns>
  <tableStyleInfo name="TableStyleLight11"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DE082643-85AD-5646-8D92-262E3D58A090}" name="RiskProbability" displayName="RiskProbability" ref="DG17:DH22" totalsRowShown="0" headerRowDxfId="107" dataDxfId="106">
  <autoFilter ref="DG17:DH22" xr:uid="{DE082643-85AD-5646-8D92-262E3D58A090}"/>
  <tableColumns count="2">
    <tableColumn id="1" xr3:uid="{715998B3-568D-894B-85AB-4EFB99DAF27D}" name="Probability" dataDxfId="105"/>
    <tableColumn id="2" xr3:uid="{AD1A28A4-102C-2749-9989-BD63C36C2F7D}" name="Description" dataDxfId="104"/>
  </tableColumns>
  <tableStyleInfo name="TableStyleLight11"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8E25623A-3A97-374D-875E-58A9951D43EC}" name="RiskType" displayName="RiskType" ref="DG7:DH9" totalsRowShown="0" headerRowDxfId="103" dataDxfId="102">
  <autoFilter ref="DG7:DH9" xr:uid="{8E25623A-3A97-374D-875E-58A9951D43EC}"/>
  <tableColumns count="2">
    <tableColumn id="1" xr3:uid="{DF94F255-C032-174A-83EE-DEF124DAFFD4}" name="Risk Type" dataDxfId="101"/>
    <tableColumn id="2" xr3:uid="{2244582F-4970-3A40-9DE2-1AAD7F78BCCE}" name="Description" dataDxfId="100"/>
  </tableColumns>
  <tableStyleInfo name="TableStyleLight11"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75A9D6C8-4A2A-9D45-BC3E-03BAEFFE92A7}" name="RiskCategory" displayName="RiskCategory" ref="DG2:DH5" totalsRowShown="0" headerRowDxfId="99" dataDxfId="98">
  <autoFilter ref="DG2:DH5" xr:uid="{75A9D6C8-4A2A-9D45-BC3E-03BAEFFE92A7}"/>
  <tableColumns count="2">
    <tableColumn id="1" xr3:uid="{94466F0F-3942-1F49-9701-712B7D7433B5}" name="Risk Category" dataDxfId="97"/>
    <tableColumn id="2" xr3:uid="{E5751129-EA3D-C742-814A-41A8675C9943}" name="Description" dataDxfId="96"/>
  </tableColumns>
  <tableStyleInfo name="TableStyleLight11"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3F854E8-3471-5943-9C1A-13B527531653}" name="Table19" displayName="Table19" ref="DG30:DH33" totalsRowShown="0" headerRowDxfId="95" tableBorderDxfId="94">
  <autoFilter ref="DG30:DH33" xr:uid="{93F854E8-3471-5943-9C1A-13B527531653}"/>
  <tableColumns count="2">
    <tableColumn id="1" xr3:uid="{DC1196CC-636D-3B42-8459-3E26911B8330}" name="Control Type" dataDxfId="93"/>
    <tableColumn id="2" xr3:uid="{12D0C546-3AC7-6643-9BD2-3252DF53702E}" name="Description" dataDxfId="92"/>
  </tableColumns>
  <tableStyleInfo name="TableStyleLight8"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AA15E3A-B71C-1F4E-AD25-9E4CFC125721}" name="RiskMatrix" displayName="RiskMatrix" ref="DJ2:DO6" totalsRowShown="0" headerRowDxfId="91" dataDxfId="89" headerRowBorderDxfId="90" tableBorderDxfId="88" totalsRowBorderDxfId="87">
  <autoFilter ref="DJ2:DO6" xr:uid="{AAA15E3A-B71C-1F4E-AD25-9E4CFC125721}"/>
  <tableColumns count="6">
    <tableColumn id="1" xr3:uid="{188ACD69-48E8-4B49-93B5-397CEF0326FB}" name="Risk Matrix" dataDxfId="86"/>
    <tableColumn id="2" xr3:uid="{C2844930-6178-AD4C-A802-81DD7F13049C}" name="Very Unlikely" dataDxfId="85"/>
    <tableColumn id="3" xr3:uid="{17BB1CAC-2485-E747-B6AD-A718C446B2D5}" name="Seldom" dataDxfId="84"/>
    <tableColumn id="4" xr3:uid="{8BD3444B-9CAC-134E-A6D8-B4AB0D9E91BB}" name="Occasional" dataDxfId="83"/>
    <tableColumn id="5" xr3:uid="{72BA26FC-BD81-6348-904F-645D0777ED70}" name="Frequent" dataDxfId="82"/>
    <tableColumn id="6" xr3:uid="{7972401E-0FBE-1141-8A32-D4D398E4051A}" name="Very Likely" dataDxfId="81"/>
  </tableColumns>
  <tableStyleInfo name="TableStyleLight8"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A4106127-1D8C-B247-AB1F-E4548E7DBE9A}" name="AssessmentIndicators" displayName="AssessmentIndicators" ref="DQ2:DR6" totalsRowShown="0" headerRowDxfId="80" dataDxfId="79">
  <autoFilter ref="DQ2:DR6" xr:uid="{A4106127-1D8C-B247-AB1F-E4548E7DBE9A}"/>
  <tableColumns count="2">
    <tableColumn id="1" xr3:uid="{6E1F6D70-85CF-D64E-86E7-40DE59D3AAEF}" name="Indicator Type" dataDxfId="78"/>
    <tableColumn id="2" xr3:uid="{03AF0F0A-8532-5641-B5BA-9C1853D750F4}" name="Description" dataDxfId="77"/>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www.naics.com/naics-code-description/?code=336992&amp;v=2017"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table" Target="../tables/table10.xml"/><Relationship Id="rId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 Id="rId4" Type="http://schemas.openxmlformats.org/officeDocument/2006/relationships/table" Target="../tables/table17.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table" Target="../tables/table19.xml"/><Relationship Id="rId1" Type="http://schemas.openxmlformats.org/officeDocument/2006/relationships/table" Target="../tables/table18.xml"/><Relationship Id="rId4" Type="http://schemas.openxmlformats.org/officeDocument/2006/relationships/table" Target="../tables/table21.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table" Target="../tables/table22.xml"/><Relationship Id="rId4" Type="http://schemas.openxmlformats.org/officeDocument/2006/relationships/table" Target="../tables/table25.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32.xml"/><Relationship Id="rId7" Type="http://schemas.openxmlformats.org/officeDocument/2006/relationships/table" Target="../tables/table36.xml"/><Relationship Id="rId2" Type="http://schemas.openxmlformats.org/officeDocument/2006/relationships/table" Target="../tables/table31.xml"/><Relationship Id="rId1" Type="http://schemas.openxmlformats.org/officeDocument/2006/relationships/table" Target="../tables/table30.xml"/><Relationship Id="rId6" Type="http://schemas.openxmlformats.org/officeDocument/2006/relationships/table" Target="../tables/table35.xml"/><Relationship Id="rId5" Type="http://schemas.openxmlformats.org/officeDocument/2006/relationships/table" Target="../tables/table34.xml"/><Relationship Id="rId4" Type="http://schemas.openxmlformats.org/officeDocument/2006/relationships/table" Target="../tables/table33.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42.xml"/><Relationship Id="rId2" Type="http://schemas.openxmlformats.org/officeDocument/2006/relationships/table" Target="../tables/table41.xml"/><Relationship Id="rId1" Type="http://schemas.openxmlformats.org/officeDocument/2006/relationships/table" Target="../tables/table40.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28.xml.rels><?xml version="1.0" encoding="UTF-8" standalone="yes"?>
<Relationships xmlns="http://schemas.openxmlformats.org/package/2006/relationships"><Relationship Id="rId13" Type="http://schemas.openxmlformats.org/officeDocument/2006/relationships/table" Target="../tables/table58.xml"/><Relationship Id="rId18" Type="http://schemas.openxmlformats.org/officeDocument/2006/relationships/table" Target="../tables/table63.xml"/><Relationship Id="rId26" Type="http://schemas.openxmlformats.org/officeDocument/2006/relationships/table" Target="../tables/table71.xml"/><Relationship Id="rId39" Type="http://schemas.openxmlformats.org/officeDocument/2006/relationships/table" Target="../tables/table84.xml"/><Relationship Id="rId21" Type="http://schemas.openxmlformats.org/officeDocument/2006/relationships/table" Target="../tables/table66.xml"/><Relationship Id="rId34" Type="http://schemas.openxmlformats.org/officeDocument/2006/relationships/table" Target="../tables/table79.xml"/><Relationship Id="rId7" Type="http://schemas.openxmlformats.org/officeDocument/2006/relationships/table" Target="../tables/table52.xml"/><Relationship Id="rId12" Type="http://schemas.openxmlformats.org/officeDocument/2006/relationships/table" Target="../tables/table57.xml"/><Relationship Id="rId17" Type="http://schemas.openxmlformats.org/officeDocument/2006/relationships/table" Target="../tables/table62.xml"/><Relationship Id="rId25" Type="http://schemas.openxmlformats.org/officeDocument/2006/relationships/table" Target="../tables/table70.xml"/><Relationship Id="rId33" Type="http://schemas.openxmlformats.org/officeDocument/2006/relationships/table" Target="../tables/table78.xml"/><Relationship Id="rId38" Type="http://schemas.openxmlformats.org/officeDocument/2006/relationships/table" Target="../tables/table83.xml"/><Relationship Id="rId2" Type="http://schemas.openxmlformats.org/officeDocument/2006/relationships/table" Target="../tables/table47.xml"/><Relationship Id="rId16" Type="http://schemas.openxmlformats.org/officeDocument/2006/relationships/table" Target="../tables/table61.xml"/><Relationship Id="rId20" Type="http://schemas.openxmlformats.org/officeDocument/2006/relationships/table" Target="../tables/table65.xml"/><Relationship Id="rId29" Type="http://schemas.openxmlformats.org/officeDocument/2006/relationships/table" Target="../tables/table74.xml"/><Relationship Id="rId1" Type="http://schemas.openxmlformats.org/officeDocument/2006/relationships/table" Target="../tables/table46.xml"/><Relationship Id="rId6" Type="http://schemas.openxmlformats.org/officeDocument/2006/relationships/table" Target="../tables/table51.xml"/><Relationship Id="rId11" Type="http://schemas.openxmlformats.org/officeDocument/2006/relationships/table" Target="../tables/table56.xml"/><Relationship Id="rId24" Type="http://schemas.openxmlformats.org/officeDocument/2006/relationships/table" Target="../tables/table69.xml"/><Relationship Id="rId32" Type="http://schemas.openxmlformats.org/officeDocument/2006/relationships/table" Target="../tables/table77.xml"/><Relationship Id="rId37" Type="http://schemas.openxmlformats.org/officeDocument/2006/relationships/table" Target="../tables/table82.xml"/><Relationship Id="rId5" Type="http://schemas.openxmlformats.org/officeDocument/2006/relationships/table" Target="../tables/table50.xml"/><Relationship Id="rId15" Type="http://schemas.openxmlformats.org/officeDocument/2006/relationships/table" Target="../tables/table60.xml"/><Relationship Id="rId23" Type="http://schemas.openxmlformats.org/officeDocument/2006/relationships/table" Target="../tables/table68.xml"/><Relationship Id="rId28" Type="http://schemas.openxmlformats.org/officeDocument/2006/relationships/table" Target="../tables/table73.xml"/><Relationship Id="rId36" Type="http://schemas.openxmlformats.org/officeDocument/2006/relationships/table" Target="../tables/table81.xml"/><Relationship Id="rId10" Type="http://schemas.openxmlformats.org/officeDocument/2006/relationships/table" Target="../tables/table55.xml"/><Relationship Id="rId19" Type="http://schemas.openxmlformats.org/officeDocument/2006/relationships/table" Target="../tables/table64.xml"/><Relationship Id="rId31" Type="http://schemas.openxmlformats.org/officeDocument/2006/relationships/table" Target="../tables/table76.xml"/><Relationship Id="rId4" Type="http://schemas.openxmlformats.org/officeDocument/2006/relationships/table" Target="../tables/table49.xml"/><Relationship Id="rId9" Type="http://schemas.openxmlformats.org/officeDocument/2006/relationships/table" Target="../tables/table54.xml"/><Relationship Id="rId14" Type="http://schemas.openxmlformats.org/officeDocument/2006/relationships/table" Target="../tables/table59.xml"/><Relationship Id="rId22" Type="http://schemas.openxmlformats.org/officeDocument/2006/relationships/table" Target="../tables/table67.xml"/><Relationship Id="rId27" Type="http://schemas.openxmlformats.org/officeDocument/2006/relationships/table" Target="../tables/table72.xml"/><Relationship Id="rId30" Type="http://schemas.openxmlformats.org/officeDocument/2006/relationships/table" Target="../tables/table75.xml"/><Relationship Id="rId35" Type="http://schemas.openxmlformats.org/officeDocument/2006/relationships/table" Target="../tables/table80.xml"/><Relationship Id="rId8" Type="http://schemas.openxmlformats.org/officeDocument/2006/relationships/table" Target="../tables/table53.xml"/><Relationship Id="rId3" Type="http://schemas.openxmlformats.org/officeDocument/2006/relationships/table" Target="../tables/table4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28622-CC08-E94E-A459-EE3397B7F2D7}">
  <sheetPr>
    <tabColor theme="9" tint="-0.499984740745262"/>
  </sheetPr>
  <dimension ref="A1:M60"/>
  <sheetViews>
    <sheetView zoomScale="120" zoomScaleNormal="120" workbookViewId="0">
      <selection activeCell="C17" sqref="C17"/>
    </sheetView>
  </sheetViews>
  <sheetFormatPr baseColWidth="10" defaultRowHeight="14" x14ac:dyDescent="0.15"/>
  <cols>
    <col min="1" max="2" width="5" style="6" customWidth="1"/>
    <col min="3" max="3" width="32.6640625" style="6" bestFit="1" customWidth="1"/>
    <col min="4" max="4" width="61.6640625" style="6" customWidth="1"/>
    <col min="5" max="5" width="3.1640625" style="6" customWidth="1"/>
    <col min="6" max="6" width="5" style="6" customWidth="1"/>
    <col min="7" max="7" width="7.5" style="6" customWidth="1"/>
    <col min="8" max="8" width="29.33203125" style="6" bestFit="1" customWidth="1"/>
    <col min="9" max="9" width="44.6640625" style="6" customWidth="1"/>
    <col min="10" max="10" width="7.1640625" style="6" bestFit="1" customWidth="1"/>
    <col min="11" max="11" width="7" style="6" customWidth="1"/>
    <col min="12" max="12" width="50" style="6" bestFit="1" customWidth="1"/>
    <col min="13" max="13" width="58" style="6" bestFit="1" customWidth="1"/>
    <col min="14" max="14" width="61.6640625" style="6" bestFit="1" customWidth="1"/>
    <col min="15" max="16384" width="10.83203125" style="6"/>
  </cols>
  <sheetData>
    <row r="1" spans="1:13" x14ac:dyDescent="0.15">
      <c r="A1" s="4" t="s">
        <v>73</v>
      </c>
      <c r="B1" s="4" t="s">
        <v>83</v>
      </c>
      <c r="C1" s="4" t="s">
        <v>87</v>
      </c>
      <c r="D1" s="5" t="s">
        <v>88</v>
      </c>
      <c r="F1" s="4" t="s">
        <v>73</v>
      </c>
      <c r="G1" s="4" t="s">
        <v>83</v>
      </c>
      <c r="H1" s="7" t="s">
        <v>87</v>
      </c>
      <c r="I1" s="8" t="s">
        <v>74</v>
      </c>
      <c r="J1" s="8" t="s">
        <v>40</v>
      </c>
      <c r="K1" s="9" t="s">
        <v>128</v>
      </c>
      <c r="L1" s="9" t="s">
        <v>132</v>
      </c>
      <c r="M1" s="10" t="s">
        <v>131</v>
      </c>
    </row>
    <row r="2" spans="1:13" x14ac:dyDescent="0.15">
      <c r="A2" s="11">
        <v>0</v>
      </c>
      <c r="B2" s="12">
        <v>1</v>
      </c>
      <c r="C2" s="11" t="s">
        <v>75</v>
      </c>
      <c r="D2" s="13" t="s">
        <v>80</v>
      </c>
      <c r="F2" s="13">
        <v>0</v>
      </c>
      <c r="G2" s="13">
        <v>1</v>
      </c>
      <c r="H2" s="11" t="str" cm="1">
        <f t="array" ref="H2">_xlfn.XLOOKUP(1,(Figures[[#This Row],[Chapter]]=ContentTable[Chapter])*(Figures[[#This Row],[Section]]=ContentTable[Section]),ContentTable[Title],"")</f>
        <v>Introduction</v>
      </c>
      <c r="I2" s="13" t="str" cm="1">
        <f t="array" ref="I2">_xlfn.XLOOKUP(1,(Figures[[#This Row],[Chapter]]=ContentTable[Chapter])*(Figures[[#This Row],[Section]]=ContentTable[Section]),ContentTable[Section (Step)],"")</f>
        <v>Preface</v>
      </c>
      <c r="J2" s="356">
        <v>1</v>
      </c>
      <c r="K2" s="357" t="s">
        <v>619</v>
      </c>
      <c r="L2" s="358" t="s">
        <v>2177</v>
      </c>
      <c r="M2" s="11" t="str">
        <f>Figures[[#This Row],[Type]]&amp;"-"&amp;Figures[[#This Row],['#]]&amp;". "&amp;Figures[[#This Row],[Name]]</f>
        <v>F-1. Military Leadership and Decision-Making Processes</v>
      </c>
    </row>
    <row r="3" spans="1:13" x14ac:dyDescent="0.15">
      <c r="A3" s="11">
        <v>0</v>
      </c>
      <c r="B3" s="12">
        <v>2</v>
      </c>
      <c r="C3" s="11" t="s">
        <v>75</v>
      </c>
      <c r="D3" s="13" t="s">
        <v>17</v>
      </c>
      <c r="F3" s="13">
        <v>0</v>
      </c>
      <c r="G3" s="13">
        <v>2</v>
      </c>
      <c r="H3" s="11" t="str" cm="1">
        <f t="array" ref="H3">_xlfn.XLOOKUP(1,(Figures[[#This Row],[Chapter]]=ContentTable[Chapter])*(Figures[[#This Row],[Section]]=ContentTable[Section]),ContentTable[Title],"")</f>
        <v>Introduction</v>
      </c>
      <c r="I3" s="13" t="str" cm="1">
        <f t="array" ref="I3">_xlfn.XLOOKUP(1,(Figures[[#This Row],[Chapter]]=ContentTable[Chapter])*(Figures[[#This Row],[Section]]=ContentTable[Section]),ContentTable[Section (Step)],"")</f>
        <v>Strategy</v>
      </c>
      <c r="J3" s="356">
        <v>2</v>
      </c>
      <c r="K3" s="357" t="s">
        <v>619</v>
      </c>
      <c r="L3" s="358" t="s">
        <v>148</v>
      </c>
      <c r="M3" s="11" t="str">
        <f>Figures[[#This Row],[Type]]&amp;"-"&amp;Figures[[#This Row],['#]]&amp;". "&amp;Figures[[#This Row],[Name]]</f>
        <v>F-2. Strategy Design Logic</v>
      </c>
    </row>
    <row r="4" spans="1:13" x14ac:dyDescent="0.15">
      <c r="A4" s="11">
        <v>0</v>
      </c>
      <c r="B4" s="12">
        <v>3</v>
      </c>
      <c r="C4" s="11" t="s">
        <v>75</v>
      </c>
      <c r="D4" s="13" t="s">
        <v>81</v>
      </c>
      <c r="F4" s="13">
        <v>0</v>
      </c>
      <c r="G4" s="13">
        <v>2</v>
      </c>
      <c r="H4" s="11" t="str" cm="1">
        <f t="array" ref="H4">_xlfn.XLOOKUP(1,(Figures[[#This Row],[Chapter]]=ContentTable[Chapter])*(Figures[[#This Row],[Section]]=ContentTable[Section]),ContentTable[Title],"")</f>
        <v>Introduction</v>
      </c>
      <c r="I4" s="13" t="str" cm="1">
        <f t="array" ref="I4">_xlfn.XLOOKUP(1,(Figures[[#This Row],[Chapter]]=ContentTable[Chapter])*(Figures[[#This Row],[Section]]=ContentTable[Section]),ContentTable[Section (Step)],"")</f>
        <v>Strategy</v>
      </c>
      <c r="J4" s="356">
        <v>3</v>
      </c>
      <c r="K4" s="357" t="s">
        <v>619</v>
      </c>
      <c r="L4" s="358" t="s">
        <v>2186</v>
      </c>
      <c r="M4" s="11" t="str">
        <f>Figures[[#This Row],[Type]]&amp;"-"&amp;Figures[[#This Row],['#]]&amp;". "&amp;Figures[[#This Row],[Name]]</f>
        <v>F-3. 10 Phases of Strategy Development Process (SDP)</v>
      </c>
    </row>
    <row r="5" spans="1:13" ht="16" customHeight="1" x14ac:dyDescent="0.15">
      <c r="A5" s="11">
        <v>0</v>
      </c>
      <c r="B5" s="12">
        <v>4</v>
      </c>
      <c r="C5" s="11" t="s">
        <v>75</v>
      </c>
      <c r="D5" s="13" t="s">
        <v>82</v>
      </c>
      <c r="F5" s="13">
        <v>0</v>
      </c>
      <c r="G5" s="13">
        <v>2</v>
      </c>
      <c r="H5" s="11" t="str" cm="1">
        <f t="array" ref="H5">_xlfn.XLOOKUP(1,(Figures[[#This Row],[Chapter]]=ContentTable[Chapter])*(Figures[[#This Row],[Section]]=ContentTable[Section]),ContentTable[Title],"")</f>
        <v>Introduction</v>
      </c>
      <c r="I5" s="13" t="str" cm="1">
        <f t="array" ref="I5">_xlfn.XLOOKUP(1,(Figures[[#This Row],[Chapter]]=ContentTable[Chapter])*(Figures[[#This Row],[Section]]=ContentTable[Section]),ContentTable[Section (Step)],"")</f>
        <v>Strategy</v>
      </c>
      <c r="J5" s="356">
        <v>4</v>
      </c>
      <c r="K5" s="357" t="s">
        <v>619</v>
      </c>
      <c r="L5" s="359" t="s">
        <v>2187</v>
      </c>
      <c r="M5" s="11" t="str">
        <f>Figures[[#This Row],[Type]]&amp;"-"&amp;Figures[[#This Row],['#]]&amp;". "&amp;Figures[[#This Row],[Name]]</f>
        <v>F-4.  Strategy, Operational, &amp; Assessment Architectures Alignment</v>
      </c>
    </row>
    <row r="6" spans="1:13" x14ac:dyDescent="0.15">
      <c r="A6" s="11">
        <v>1</v>
      </c>
      <c r="B6" s="12">
        <v>1</v>
      </c>
      <c r="C6" s="11" t="s">
        <v>108</v>
      </c>
      <c r="D6" s="13" t="s">
        <v>2189</v>
      </c>
      <c r="F6" s="13">
        <v>0</v>
      </c>
      <c r="G6" s="13">
        <v>3</v>
      </c>
      <c r="H6" s="11" t="str" cm="1">
        <f t="array" ref="H6">_xlfn.XLOOKUP(1,(Figures[[#This Row],[Chapter]]=ContentTable[Chapter])*(Figures[[#This Row],[Section]]=ContentTable[Section]),ContentTable[Title],"")</f>
        <v>Introduction</v>
      </c>
      <c r="I6" s="13" t="str" cm="1">
        <f t="array" ref="I6">_xlfn.XLOOKUP(1,(Figures[[#This Row],[Chapter]]=ContentTable[Chapter])*(Figures[[#This Row],[Section]]=ContentTable[Section]),ContentTable[Section (Step)],"")</f>
        <v>Strategic Thinking</v>
      </c>
      <c r="J6" s="356">
        <v>5</v>
      </c>
      <c r="K6" s="357" t="s">
        <v>619</v>
      </c>
      <c r="L6" s="358" t="s">
        <v>2179</v>
      </c>
      <c r="M6" s="11" t="str">
        <f>Figures[[#This Row],[Type]]&amp;"-"&amp;Figures[[#This Row],['#]]&amp;". "&amp;Figures[[#This Row],[Name]]</f>
        <v>F-5. System-of-System's Perspective</v>
      </c>
    </row>
    <row r="7" spans="1:13" x14ac:dyDescent="0.15">
      <c r="A7" s="11">
        <v>1</v>
      </c>
      <c r="B7" s="12">
        <v>2</v>
      </c>
      <c r="C7" s="11" t="s">
        <v>108</v>
      </c>
      <c r="D7" s="13" t="s">
        <v>89</v>
      </c>
      <c r="F7" s="13">
        <v>0</v>
      </c>
      <c r="G7" s="13">
        <v>4</v>
      </c>
      <c r="H7" s="11" t="str" cm="1">
        <f t="array" ref="H7">_xlfn.XLOOKUP(1,(Figures[[#This Row],[Chapter]]=ContentTable[Chapter])*(Figures[[#This Row],[Section]]=ContentTable[Section]),ContentTable[Title],"")</f>
        <v>Introduction</v>
      </c>
      <c r="I7" s="13" t="str" cm="1">
        <f t="array" ref="I7">_xlfn.XLOOKUP(1,(Figures[[#This Row],[Chapter]]=ContentTable[Chapter])*(Figures[[#This Row],[Section]]=ContentTable[Section]),ContentTable[Section (Step)],"")</f>
        <v>Participation</v>
      </c>
      <c r="J7" s="356">
        <v>6</v>
      </c>
      <c r="K7" s="357" t="s">
        <v>619</v>
      </c>
      <c r="L7" s="358" t="s">
        <v>133</v>
      </c>
      <c r="M7" s="11" t="str">
        <f>Figures[[#This Row],[Type]]&amp;"-"&amp;Figures[[#This Row],['#]]&amp;". "&amp;Figures[[#This Row],[Name]]</f>
        <v>F-6. SDP Participation</v>
      </c>
    </row>
    <row r="8" spans="1:13" x14ac:dyDescent="0.15">
      <c r="A8" s="11">
        <v>1</v>
      </c>
      <c r="B8" s="12">
        <v>3</v>
      </c>
      <c r="C8" s="11" t="s">
        <v>108</v>
      </c>
      <c r="D8" s="13" t="s">
        <v>2190</v>
      </c>
      <c r="F8" s="13">
        <v>1</v>
      </c>
      <c r="G8" s="13">
        <v>2</v>
      </c>
      <c r="H8" s="11" t="str" cm="1">
        <f t="array" ref="H8">_xlfn.XLOOKUP(1,(Figures[[#This Row],[Chapter]]=ContentTable[Chapter])*(Figures[[#This Row],[Section]]=ContentTable[Section]),ContentTable[Title],"")</f>
        <v>Task Analysis</v>
      </c>
      <c r="I8" s="13" t="str" cm="1">
        <f t="array" ref="I8">_xlfn.XLOOKUP(1,(Figures[[#This Row],[Chapter]]=ContentTable[Chapter])*(Figures[[#This Row],[Section]]=ContentTable[Section]),ContentTable[Section (Step)],"")</f>
        <v>Analyze Guidance</v>
      </c>
      <c r="J8" s="356">
        <v>1</v>
      </c>
      <c r="K8" s="357" t="s">
        <v>130</v>
      </c>
      <c r="L8" s="358" t="s">
        <v>150</v>
      </c>
      <c r="M8" s="11" t="str">
        <f>Figures[[#This Row],[Type]]&amp;"-"&amp;Figures[[#This Row],['#]]&amp;". "&amp;Figures[[#This Row],[Name]]</f>
        <v>T-1. Task Analysis Table</v>
      </c>
    </row>
    <row r="9" spans="1:13" x14ac:dyDescent="0.15">
      <c r="A9" s="11">
        <v>1</v>
      </c>
      <c r="B9" s="12">
        <v>4</v>
      </c>
      <c r="C9" s="11" t="s">
        <v>108</v>
      </c>
      <c r="D9" s="13" t="s">
        <v>90</v>
      </c>
      <c r="F9" s="13">
        <v>1</v>
      </c>
      <c r="G9" s="13">
        <v>2</v>
      </c>
      <c r="H9" s="11" t="str" cm="1">
        <f t="array" ref="H9">_xlfn.XLOOKUP(1,(Figures[[#This Row],[Chapter]]=ContentTable[Chapter])*(Figures[[#This Row],[Section]]=ContentTable[Section]),ContentTable[Title],"")</f>
        <v>Task Analysis</v>
      </c>
      <c r="I9" s="13" t="str" cm="1">
        <f t="array" ref="I9">_xlfn.XLOOKUP(1,(Figures[[#This Row],[Chapter]]=ContentTable[Chapter])*(Figures[[#This Row],[Section]]=ContentTable[Section]),ContentTable[Section (Step)],"")</f>
        <v>Analyze Guidance</v>
      </c>
      <c r="J9" s="356">
        <v>2</v>
      </c>
      <c r="K9" s="357" t="s">
        <v>130</v>
      </c>
      <c r="L9" s="358" t="s">
        <v>1486</v>
      </c>
      <c r="M9" s="11" t="str">
        <f>Figures[[#This Row],[Type]]&amp;"-"&amp;Figures[[#This Row],['#]]&amp;". "&amp;Figures[[#This Row],[Name]]</f>
        <v>T-2. Motivators, Tasks, and Limitations (MT&amp;L) Table</v>
      </c>
    </row>
    <row r="10" spans="1:13" x14ac:dyDescent="0.15">
      <c r="A10" s="11">
        <v>1</v>
      </c>
      <c r="B10" s="12">
        <v>5</v>
      </c>
      <c r="C10" s="11" t="s">
        <v>108</v>
      </c>
      <c r="D10" s="13" t="s">
        <v>91</v>
      </c>
      <c r="F10" s="13">
        <v>1</v>
      </c>
      <c r="G10" s="13">
        <v>2</v>
      </c>
      <c r="H10" s="11" t="str" cm="1">
        <f t="array" ref="H10">_xlfn.XLOOKUP(1,(Figures[[#This Row],[Chapter]]=ContentTable[Chapter])*(Figures[[#This Row],[Section]]=ContentTable[Section]),ContentTable[Title],"")</f>
        <v>Task Analysis</v>
      </c>
      <c r="I10" s="13" t="str" cm="1">
        <f t="array" ref="I10">_xlfn.XLOOKUP(1,(Figures[[#This Row],[Chapter]]=ContentTable[Chapter])*(Figures[[#This Row],[Section]]=ContentTable[Section]),ContentTable[Section (Step)],"")</f>
        <v>Analyze Guidance</v>
      </c>
      <c r="J10" s="356">
        <v>7</v>
      </c>
      <c r="K10" s="357" t="s">
        <v>619</v>
      </c>
      <c r="L10" s="358" t="s">
        <v>149</v>
      </c>
      <c r="M10" s="11" t="str">
        <f>Figures[[#This Row],[Type]]&amp;"-"&amp;Figures[[#This Row],['#]]&amp;". "&amp;Figures[[#This Row],[Name]]</f>
        <v>F-7. Inputs and Outputs of Analyzing Guidance</v>
      </c>
    </row>
    <row r="11" spans="1:13" x14ac:dyDescent="0.15">
      <c r="A11" s="11">
        <v>2</v>
      </c>
      <c r="B11" s="12">
        <v>1</v>
      </c>
      <c r="C11" s="11" t="s">
        <v>92</v>
      </c>
      <c r="D11" s="13" t="s">
        <v>2191</v>
      </c>
      <c r="F11" s="13">
        <v>1</v>
      </c>
      <c r="G11" s="13">
        <v>4</v>
      </c>
      <c r="H11" s="11" t="str" cm="1">
        <f t="array" ref="H11">_xlfn.XLOOKUP(1,(Figures[[#This Row],[Chapter]]=ContentTable[Chapter])*(Figures[[#This Row],[Section]]=ContentTable[Section]),ContentTable[Title],"")</f>
        <v>Task Analysis</v>
      </c>
      <c r="I11" s="13" t="str" cm="1">
        <f t="array" ref="I11">_xlfn.XLOOKUP(1,(Figures[[#This Row],[Chapter]]=ContentTable[Chapter])*(Figures[[#This Row],[Section]]=ContentTable[Section]),ContentTable[Section (Step)],"")</f>
        <v>Identify Facts and Assumptions</v>
      </c>
      <c r="J11" s="356">
        <v>3</v>
      </c>
      <c r="K11" s="357" t="s">
        <v>130</v>
      </c>
      <c r="L11" s="358" t="s">
        <v>1487</v>
      </c>
      <c r="M11" s="11" t="str">
        <f>Figures[[#This Row],[Type]]&amp;"-"&amp;Figures[[#This Row],['#]]&amp;". "&amp;Figures[[#This Row],[Name]]</f>
        <v>T-3. Facts, Assumptions, and Opinions (FAO) Table</v>
      </c>
    </row>
    <row r="12" spans="1:13" x14ac:dyDescent="0.15">
      <c r="A12" s="11">
        <v>2</v>
      </c>
      <c r="B12" s="12">
        <v>2</v>
      </c>
      <c r="C12" s="11" t="s">
        <v>92</v>
      </c>
      <c r="D12" s="13" t="s">
        <v>485</v>
      </c>
      <c r="F12" s="13">
        <v>1</v>
      </c>
      <c r="G12" s="13">
        <v>5</v>
      </c>
      <c r="H12" s="11" t="str" cm="1">
        <f t="array" ref="H12">_xlfn.XLOOKUP(1,(Figures[[#This Row],[Chapter]]=ContentTable[Chapter])*(Figures[[#This Row],[Section]]=ContentTable[Section]),ContentTable[Title],"")</f>
        <v>Task Analysis</v>
      </c>
      <c r="I12" s="13" t="str" cm="1">
        <f t="array" ref="I12">_xlfn.XLOOKUP(1,(Figures[[#This Row],[Chapter]]=ContentTable[Chapter])*(Figures[[#This Row],[Section]]=ContentTable[Section]),ContentTable[Section (Step)],"")</f>
        <v>Develop Initial Information Requirements</v>
      </c>
      <c r="J12" s="356">
        <v>4</v>
      </c>
      <c r="K12" s="357" t="s">
        <v>130</v>
      </c>
      <c r="L12" s="358" t="s">
        <v>1488</v>
      </c>
      <c r="M12" s="11" t="str">
        <f>Figures[[#This Row],[Type]]&amp;"-"&amp;Figures[[#This Row],['#]]&amp;". "&amp;Figures[[#This Row],[Name]]</f>
        <v>T-4. Critical Information Requirements (CIRT) Table</v>
      </c>
    </row>
    <row r="13" spans="1:13" x14ac:dyDescent="0.15">
      <c r="A13" s="11">
        <v>2</v>
      </c>
      <c r="B13" s="12">
        <v>3</v>
      </c>
      <c r="C13" s="11" t="s">
        <v>92</v>
      </c>
      <c r="D13" s="13" t="s">
        <v>479</v>
      </c>
      <c r="F13" s="13">
        <v>2</v>
      </c>
      <c r="G13" s="13">
        <v>1</v>
      </c>
      <c r="H13" s="11" t="str" cm="1">
        <f t="array" ref="H13">_xlfn.XLOOKUP(1,(Figures[[#This Row],[Chapter]]=ContentTable[Chapter])*(Figures[[#This Row],[Section]]=ContentTable[Section]),ContentTable[Title],"")</f>
        <v>Strategic Environment Analysis</v>
      </c>
      <c r="I13" s="13" t="str" cm="1">
        <f t="array" ref="I13">_xlfn.XLOOKUP(1,(Figures[[#This Row],[Chapter]]=ContentTable[Chapter])*(Figures[[#This Row],[Section]]=ContentTable[Section]),ContentTable[Section (Step)],"")</f>
        <v>Scan Environment</v>
      </c>
      <c r="J13" s="356">
        <v>8</v>
      </c>
      <c r="K13" s="357" t="s">
        <v>619</v>
      </c>
      <c r="L13" s="358" t="s">
        <v>151</v>
      </c>
      <c r="M13" s="11" t="str">
        <f>Figures[[#This Row],[Type]]&amp;"-"&amp;Figures[[#This Row],['#]]&amp;". "&amp;Figures[[#This Row],[Name]]</f>
        <v>F-8. Broad versus Deep Scanning</v>
      </c>
    </row>
    <row r="14" spans="1:13" x14ac:dyDescent="0.15">
      <c r="A14" s="11">
        <v>2</v>
      </c>
      <c r="B14" s="12">
        <v>4</v>
      </c>
      <c r="C14" s="11" t="s">
        <v>92</v>
      </c>
      <c r="D14" s="13" t="s">
        <v>480</v>
      </c>
      <c r="F14" s="13">
        <v>2</v>
      </c>
      <c r="G14" s="13">
        <v>2</v>
      </c>
      <c r="H14" s="11" t="str" cm="1">
        <f t="array" ref="H14">_xlfn.XLOOKUP(1,(Figures[[#This Row],[Chapter]]=ContentTable[Chapter])*(Figures[[#This Row],[Section]]=ContentTable[Section]),ContentTable[Title],"")</f>
        <v>Strategic Environment Analysis</v>
      </c>
      <c r="I14" s="13" t="str" cm="1">
        <f t="array" ref="I14">_xlfn.XLOOKUP(1,(Figures[[#This Row],[Chapter]]=ContentTable[Chapter])*(Figures[[#This Row],[Section]]=ContentTable[Section]),ContentTable[Section (Step)],"")</f>
        <v>Analyze the Current State</v>
      </c>
      <c r="J14" s="356">
        <v>5</v>
      </c>
      <c r="K14" s="357" t="s">
        <v>130</v>
      </c>
      <c r="L14" s="358" t="s">
        <v>478</v>
      </c>
      <c r="M14" s="11" t="str">
        <f>Figures[[#This Row],[Type]]&amp;"-"&amp;Figures[[#This Row],['#]]&amp;". "&amp;Figures[[#This Row],[Name]]</f>
        <v>T-5. PESTLES Analysis Table</v>
      </c>
    </row>
    <row r="15" spans="1:13" x14ac:dyDescent="0.15">
      <c r="A15" s="11">
        <v>2</v>
      </c>
      <c r="B15" s="12">
        <v>5</v>
      </c>
      <c r="C15" s="11" t="s">
        <v>92</v>
      </c>
      <c r="D15" s="13" t="s">
        <v>93</v>
      </c>
      <c r="F15" s="13">
        <v>2</v>
      </c>
      <c r="G15" s="13">
        <v>2</v>
      </c>
      <c r="H15" s="11" t="str" cm="1">
        <f t="array" ref="H15">_xlfn.XLOOKUP(1,(Figures[[#This Row],[Chapter]]=ContentTable[Chapter])*(Figures[[#This Row],[Section]]=ContentTable[Section]),ContentTable[Title],"")</f>
        <v>Strategic Environment Analysis</v>
      </c>
      <c r="I15" s="13" t="str" cm="1">
        <f t="array" ref="I15">_xlfn.XLOOKUP(1,(Figures[[#This Row],[Chapter]]=ContentTable[Chapter])*(Figures[[#This Row],[Section]]=ContentTable[Section]),ContentTable[Section (Step)],"")</f>
        <v>Analyze the Current State</v>
      </c>
      <c r="J15" s="356">
        <v>6</v>
      </c>
      <c r="K15" s="357" t="s">
        <v>130</v>
      </c>
      <c r="L15" s="358" t="s">
        <v>477</v>
      </c>
      <c r="M15" s="11" t="str">
        <f>Figures[[#This Row],[Type]]&amp;"-"&amp;Figures[[#This Row],['#]]&amp;". "&amp;Figures[[#This Row],[Name]]</f>
        <v>T-6. Current State Table</v>
      </c>
    </row>
    <row r="16" spans="1:13" x14ac:dyDescent="0.15">
      <c r="A16" s="11">
        <v>3</v>
      </c>
      <c r="B16" s="12">
        <v>1</v>
      </c>
      <c r="C16" s="11" t="s">
        <v>84</v>
      </c>
      <c r="D16" s="13" t="s">
        <v>94</v>
      </c>
      <c r="F16" s="13">
        <v>2</v>
      </c>
      <c r="G16" s="13">
        <v>3</v>
      </c>
      <c r="H16" s="11" t="str" cm="1">
        <f t="array" ref="H16">_xlfn.XLOOKUP(1,(Figures[[#This Row],[Chapter]]=ContentTable[Chapter])*(Figures[[#This Row],[Section]]=ContentTable[Section]),ContentTable[Title],"")</f>
        <v>Strategic Environment Analysis</v>
      </c>
      <c r="I16" s="13" t="str" cm="1">
        <f t="array" ref="I16">_xlfn.XLOOKUP(1,(Figures[[#This Row],[Chapter]]=ContentTable[Chapter])*(Figures[[#This Row],[Section]]=ContentTable[Section]),ContentTable[Section (Step)],"")</f>
        <v>Assess the Drivers</v>
      </c>
      <c r="J16" s="356">
        <v>9</v>
      </c>
      <c r="K16" s="357" t="s">
        <v>619</v>
      </c>
      <c r="L16" s="358" t="s">
        <v>152</v>
      </c>
      <c r="M16" s="11" t="str">
        <f>Figures[[#This Row],[Type]]&amp;"-"&amp;Figures[[#This Row],['#]]&amp;". "&amp;Figures[[#This Row],[Name]]</f>
        <v>F-9. Certainty/Impact Matrix</v>
      </c>
    </row>
    <row r="17" spans="1:13" x14ac:dyDescent="0.15">
      <c r="A17" s="11">
        <v>3</v>
      </c>
      <c r="B17" s="12">
        <v>2</v>
      </c>
      <c r="C17" s="11" t="s">
        <v>84</v>
      </c>
      <c r="D17" s="13" t="s">
        <v>95</v>
      </c>
      <c r="F17" s="13">
        <v>2</v>
      </c>
      <c r="G17" s="13">
        <v>4</v>
      </c>
      <c r="H17" s="11" t="str" cm="1">
        <f t="array" ref="H17">_xlfn.XLOOKUP(1,(Figures[[#This Row],[Chapter]]=ContentTable[Chapter])*(Figures[[#This Row],[Section]]=ContentTable[Section]),ContentTable[Title],"")</f>
        <v>Strategic Environment Analysis</v>
      </c>
      <c r="I17" s="13" t="str" cm="1">
        <f t="array" ref="I17">_xlfn.XLOOKUP(1,(Figures[[#This Row],[Chapter]]=ContentTable[Chapter])*(Figures[[#This Row],[Section]]=ContentTable[Section]),ContentTable[Section (Step)],"")</f>
        <v>Identify Key Drivers</v>
      </c>
      <c r="J17" s="356">
        <v>7</v>
      </c>
      <c r="K17" s="357" t="s">
        <v>130</v>
      </c>
      <c r="L17" s="358" t="s">
        <v>482</v>
      </c>
      <c r="M17" s="11" t="str">
        <f>Figures[[#This Row],[Type]]&amp;"-"&amp;Figures[[#This Row],['#]]&amp;". "&amp;Figures[[#This Row],[Name]]</f>
        <v>T-7. Driver Table</v>
      </c>
    </row>
    <row r="18" spans="1:13" x14ac:dyDescent="0.15">
      <c r="A18" s="11">
        <v>3</v>
      </c>
      <c r="B18" s="12">
        <v>3</v>
      </c>
      <c r="C18" s="11" t="s">
        <v>84</v>
      </c>
      <c r="D18" s="13" t="s">
        <v>96</v>
      </c>
      <c r="F18" s="13">
        <v>3</v>
      </c>
      <c r="G18" s="13">
        <v>1</v>
      </c>
      <c r="H18" s="11" t="str" cm="1">
        <f t="array" ref="H18">_xlfn.XLOOKUP(1,(Figures[[#This Row],[Chapter]]=ContentTable[Chapter])*(Figures[[#This Row],[Section]]=ContentTable[Section]),ContentTable[Title],"")</f>
        <v>Future Modeling</v>
      </c>
      <c r="I18" s="13" t="str" cm="1">
        <f t="array" ref="I18">_xlfn.XLOOKUP(1,(Figures[[#This Row],[Chapter]]=ContentTable[Chapter])*(Figures[[#This Row],[Section]]=ContentTable[Section]),ContentTable[Section (Step)],"")</f>
        <v>Develop the Methodology</v>
      </c>
      <c r="J18" s="356">
        <v>10</v>
      </c>
      <c r="K18" s="357" t="s">
        <v>619</v>
      </c>
      <c r="L18" s="358" t="s">
        <v>2182</v>
      </c>
      <c r="M18" s="11" t="str">
        <f>Figures[[#This Row],[Type]]&amp;"-"&amp;Figures[[#This Row],['#]]&amp;". "&amp;Figures[[#This Row],[Name]]</f>
        <v>F-10. Modified Trend Prioritization Matrix</v>
      </c>
    </row>
    <row r="19" spans="1:13" x14ac:dyDescent="0.15">
      <c r="A19" s="11">
        <v>3</v>
      </c>
      <c r="B19" s="12">
        <v>4</v>
      </c>
      <c r="C19" s="11" t="s">
        <v>84</v>
      </c>
      <c r="D19" s="13" t="s">
        <v>97</v>
      </c>
      <c r="F19" s="13">
        <v>3</v>
      </c>
      <c r="G19" s="13">
        <v>2</v>
      </c>
      <c r="H19" s="11" t="str" cm="1">
        <f t="array" ref="H19">_xlfn.XLOOKUP(1,(Figures[[#This Row],[Chapter]]=ContentTable[Chapter])*(Figures[[#This Row],[Section]]=ContentTable[Section]),ContentTable[Title],"")</f>
        <v>Future Modeling</v>
      </c>
      <c r="I19" s="13" t="str" cm="1">
        <f t="array" ref="I19">_xlfn.XLOOKUP(1,(Figures[[#This Row],[Chapter]]=ContentTable[Chapter])*(Figures[[#This Row],[Section]]=ContentTable[Section]),ContentTable[Section (Step)],"")</f>
        <v>Select Trends</v>
      </c>
      <c r="J19" s="356">
        <v>8</v>
      </c>
      <c r="K19" s="357" t="s">
        <v>130</v>
      </c>
      <c r="L19" s="358" t="s">
        <v>134</v>
      </c>
      <c r="M19" s="11" t="str">
        <f>Figures[[#This Row],[Type]]&amp;"-"&amp;Figures[[#This Row],['#]]&amp;". "&amp;Figures[[#This Row],[Name]]</f>
        <v>T-8. Modified Driver Correlation Grid</v>
      </c>
    </row>
    <row r="20" spans="1:13" x14ac:dyDescent="0.15">
      <c r="A20" s="11">
        <v>3</v>
      </c>
      <c r="B20" s="12">
        <v>5</v>
      </c>
      <c r="C20" s="11" t="s">
        <v>84</v>
      </c>
      <c r="D20" s="13" t="s">
        <v>245</v>
      </c>
      <c r="F20" s="13">
        <v>3</v>
      </c>
      <c r="G20" s="13">
        <v>2</v>
      </c>
      <c r="H20" s="11" t="str" cm="1">
        <f t="array" ref="H20">_xlfn.XLOOKUP(1,(Figures[[#This Row],[Chapter]]=ContentTable[Chapter])*(Figures[[#This Row],[Section]]=ContentTable[Section]),ContentTable[Title],"")</f>
        <v>Future Modeling</v>
      </c>
      <c r="I20" s="13" t="str" cm="1">
        <f t="array" ref="I20">_xlfn.XLOOKUP(1,(Figures[[#This Row],[Chapter]]=ContentTable[Chapter])*(Figures[[#This Row],[Section]]=ContentTable[Section]),ContentTable[Section (Step)],"")</f>
        <v>Select Trends</v>
      </c>
      <c r="J20" s="356">
        <v>9</v>
      </c>
      <c r="K20" s="357" t="s">
        <v>130</v>
      </c>
      <c r="L20" s="358" t="s">
        <v>2185</v>
      </c>
      <c r="M20" s="11" t="str">
        <f>Figures[[#This Row],[Type]]&amp;"-"&amp;Figures[[#This Row],['#]]&amp;". "&amp;Figures[[#This Row],[Name]]</f>
        <v>T-9. Modified Trend Prioritization Table</v>
      </c>
    </row>
    <row r="21" spans="1:13" x14ac:dyDescent="0.15">
      <c r="A21" s="11">
        <v>4</v>
      </c>
      <c r="B21" s="12">
        <v>1</v>
      </c>
      <c r="C21" s="11" t="s">
        <v>76</v>
      </c>
      <c r="D21" s="13" t="s">
        <v>2192</v>
      </c>
      <c r="F21" s="13">
        <v>3</v>
      </c>
      <c r="G21" s="13">
        <v>3</v>
      </c>
      <c r="H21" s="11" t="str" cm="1">
        <f t="array" ref="H21">_xlfn.XLOOKUP(1,(Figures[[#This Row],[Chapter]]=ContentTable[Chapter])*(Figures[[#This Row],[Section]]=ContentTable[Section]),ContentTable[Title],"")</f>
        <v>Future Modeling</v>
      </c>
      <c r="I21" s="13" t="str" cm="1">
        <f t="array" ref="I21">_xlfn.XLOOKUP(1,(Figures[[#This Row],[Chapter]]=ContentTable[Chapter])*(Figures[[#This Row],[Section]]=ContentTable[Section]),ContentTable[Section (Step)],"")</f>
        <v>Build Futures</v>
      </c>
      <c r="J21" s="356">
        <v>10</v>
      </c>
      <c r="K21" s="357" t="s">
        <v>130</v>
      </c>
      <c r="L21" s="358" t="s">
        <v>136</v>
      </c>
      <c r="M21" s="11" t="str">
        <f>Figures[[#This Row],[Type]]&amp;"-"&amp;Figures[[#This Row],['#]]&amp;". "&amp;Figures[[#This Row],[Name]]</f>
        <v>T-10. Futures Table</v>
      </c>
    </row>
    <row r="22" spans="1:13" x14ac:dyDescent="0.15">
      <c r="A22" s="11">
        <v>4</v>
      </c>
      <c r="B22" s="12">
        <v>2</v>
      </c>
      <c r="C22" s="11" t="s">
        <v>76</v>
      </c>
      <c r="D22" s="13" t="s">
        <v>98</v>
      </c>
      <c r="F22" s="13">
        <v>3</v>
      </c>
      <c r="G22" s="11">
        <v>3</v>
      </c>
      <c r="H22" s="11" t="str" cm="1">
        <f t="array" ref="H22">_xlfn.XLOOKUP(1,(Figures[[#This Row],[Chapter]]=ContentTable[Chapter])*(Figures[[#This Row],[Section]]=ContentTable[Section]),ContentTable[Title],"")</f>
        <v>Future Modeling</v>
      </c>
      <c r="I22" s="13" t="str" cm="1">
        <f t="array" ref="I22">_xlfn.XLOOKUP(1,(Figures[[#This Row],[Chapter]]=ContentTable[Chapter])*(Figures[[#This Row],[Section]]=ContentTable[Section]),ContentTable[Section (Step)],"")</f>
        <v>Build Futures</v>
      </c>
      <c r="J22" s="356">
        <v>11</v>
      </c>
      <c r="K22" s="357" t="s">
        <v>130</v>
      </c>
      <c r="L22" s="358" t="s">
        <v>1489</v>
      </c>
      <c r="M22" s="11" t="str">
        <f>Figures[[#This Row],[Type]]&amp;"-"&amp;Figures[[#This Row],['#]]&amp;". "&amp;Figures[[#This Row],[Name]]</f>
        <v>T-11. Strengths, Weaknesses, Opportunities, and Threats (SWOT) Table</v>
      </c>
    </row>
    <row r="23" spans="1:13" x14ac:dyDescent="0.15">
      <c r="A23" s="11">
        <v>4</v>
      </c>
      <c r="B23" s="12">
        <v>3</v>
      </c>
      <c r="C23" s="11" t="s">
        <v>76</v>
      </c>
      <c r="D23" s="13" t="s">
        <v>99</v>
      </c>
      <c r="F23" s="13">
        <v>3</v>
      </c>
      <c r="G23" s="13">
        <v>3</v>
      </c>
      <c r="H23" s="11" t="str" cm="1">
        <f t="array" ref="H23">_xlfn.XLOOKUP(1,(Figures[[#This Row],[Chapter]]=ContentTable[Chapter])*(Figures[[#This Row],[Section]]=ContentTable[Section]),ContentTable[Title],"")</f>
        <v>Future Modeling</v>
      </c>
      <c r="I23" s="13" t="str" cm="1">
        <f t="array" ref="I23">_xlfn.XLOOKUP(1,(Figures[[#This Row],[Chapter]]=ContentTable[Chapter])*(Figures[[#This Row],[Section]]=ContentTable[Section]),ContentTable[Section (Step)],"")</f>
        <v>Build Futures</v>
      </c>
      <c r="J23" s="356">
        <v>11</v>
      </c>
      <c r="K23" s="357" t="s">
        <v>619</v>
      </c>
      <c r="L23" s="358" t="s">
        <v>135</v>
      </c>
      <c r="M23" s="11" t="str">
        <f>Figures[[#This Row],[Type]]&amp;"-"&amp;Figures[[#This Row],['#]]&amp;". "&amp;Figures[[#This Row],[Name]]</f>
        <v>F-11. Projection of Alternative Futures Diagram</v>
      </c>
    </row>
    <row r="24" spans="1:13" x14ac:dyDescent="0.15">
      <c r="A24" s="11">
        <v>4</v>
      </c>
      <c r="B24" s="12">
        <v>4</v>
      </c>
      <c r="C24" s="11" t="s">
        <v>76</v>
      </c>
      <c r="D24" s="13" t="s">
        <v>2193</v>
      </c>
      <c r="F24" s="13">
        <v>4</v>
      </c>
      <c r="G24" s="13">
        <v>1</v>
      </c>
      <c r="H24" s="11" t="str" cm="1">
        <f t="array" ref="H24">_xlfn.XLOOKUP(1,(Figures[[#This Row],[Chapter]]=ContentTable[Chapter])*(Figures[[#This Row],[Section]]=ContentTable[Section]),ContentTable[Title],"")</f>
        <v>Operational Area Analysis</v>
      </c>
      <c r="I24" s="13" t="str" cm="1">
        <f t="array" ref="I24">_xlfn.XLOOKUP(1,(Figures[[#This Row],[Chapter]]=ContentTable[Chapter])*(Figures[[#This Row],[Section]]=ContentTable[Section]),ContentTable[Section (Step)],"")</f>
        <v>Diagram the Network</v>
      </c>
      <c r="J24" s="356">
        <v>12</v>
      </c>
      <c r="K24" s="357" t="s">
        <v>619</v>
      </c>
      <c r="L24" s="358" t="s">
        <v>137</v>
      </c>
      <c r="M24" s="11" t="str">
        <f>Figures[[#This Row],[Type]]&amp;"-"&amp;Figures[[#This Row],['#]]&amp;". "&amp;Figures[[#This Row],[Name]]</f>
        <v>F-12. Network Analysis Diagram</v>
      </c>
    </row>
    <row r="25" spans="1:13" x14ac:dyDescent="0.15">
      <c r="A25" s="11">
        <v>4</v>
      </c>
      <c r="B25" s="12">
        <v>5</v>
      </c>
      <c r="C25" s="11" t="s">
        <v>76</v>
      </c>
      <c r="D25" s="13" t="s">
        <v>93</v>
      </c>
      <c r="F25" s="13">
        <v>4</v>
      </c>
      <c r="G25" s="13">
        <v>2</v>
      </c>
      <c r="H25" s="11" t="str" cm="1">
        <f t="array" ref="H25">_xlfn.XLOOKUP(1,(Figures[[#This Row],[Chapter]]=ContentTable[Chapter])*(Figures[[#This Row],[Section]]=ContentTable[Section]),ContentTable[Title],"")</f>
        <v>Operational Area Analysis</v>
      </c>
      <c r="I25" s="13" t="str" cm="1">
        <f t="array" ref="I25">_xlfn.XLOOKUP(1,(Figures[[#This Row],[Chapter]]=ContentTable[Chapter])*(Figures[[#This Row],[Section]]=ContentTable[Section]),ContentTable[Section (Step)],"")</f>
        <v>Assess Network Structure</v>
      </c>
      <c r="J25" s="356">
        <v>12</v>
      </c>
      <c r="K25" s="357" t="s">
        <v>130</v>
      </c>
      <c r="L25" s="358" t="s">
        <v>138</v>
      </c>
      <c r="M25" s="11" t="str">
        <f>Figures[[#This Row],[Type]]&amp;"-"&amp;Figures[[#This Row],['#]]&amp;". "&amp;Figures[[#This Row],[Name]]</f>
        <v>T-12. OA Analysis Table</v>
      </c>
    </row>
    <row r="26" spans="1:13" x14ac:dyDescent="0.15">
      <c r="A26" s="11">
        <v>5</v>
      </c>
      <c r="B26" s="12">
        <v>1</v>
      </c>
      <c r="C26" s="11" t="s">
        <v>77</v>
      </c>
      <c r="D26" s="13" t="s">
        <v>2194</v>
      </c>
      <c r="F26" s="13">
        <v>5</v>
      </c>
      <c r="G26" s="13">
        <v>1</v>
      </c>
      <c r="H26" s="11" t="str" cm="1">
        <f t="array" ref="H26">_xlfn.XLOOKUP(1,(Figures[[#This Row],[Chapter]]=ContentTable[Chapter])*(Figures[[#This Row],[Section]]=ContentTable[Section]),ContentTable[Title],"")</f>
        <v>Capability-Based Assessment (CBA)</v>
      </c>
      <c r="I26" s="13" t="str" cm="1">
        <f t="array" ref="I26">_xlfn.XLOOKUP(1,(Figures[[#This Row],[Chapter]]=ContentTable[Chapter])*(Figures[[#This Row],[Section]]=ContentTable[Section]),ContentTable[Section (Step)],"")</f>
        <v>Inventory Current Capabilites</v>
      </c>
      <c r="J26" s="356">
        <v>13</v>
      </c>
      <c r="K26" s="357" t="s">
        <v>130</v>
      </c>
      <c r="L26" s="358" t="s">
        <v>139</v>
      </c>
      <c r="M26" s="11" t="str">
        <f>Figures[[#This Row],[Type]]&amp;"-"&amp;Figures[[#This Row],['#]]&amp;". "&amp;Figures[[#This Row],[Name]]</f>
        <v>T-13. CBA Table</v>
      </c>
    </row>
    <row r="27" spans="1:13" x14ac:dyDescent="0.15">
      <c r="A27" s="11">
        <v>5</v>
      </c>
      <c r="B27" s="12">
        <v>2</v>
      </c>
      <c r="C27" s="11" t="s">
        <v>77</v>
      </c>
      <c r="D27" s="13" t="s">
        <v>2195</v>
      </c>
      <c r="F27" s="13">
        <v>5</v>
      </c>
      <c r="G27" s="13">
        <v>2</v>
      </c>
      <c r="H27" s="11" t="str" cm="1">
        <f t="array" ref="H27">_xlfn.XLOOKUP(1,(Figures[[#This Row],[Chapter]]=ContentTable[Chapter])*(Figures[[#This Row],[Section]]=ContentTable[Section]),ContentTable[Title],"")</f>
        <v>Capability-Based Assessment (CBA)</v>
      </c>
      <c r="I27" s="13" t="str" cm="1">
        <f t="array" ref="I27">_xlfn.XLOOKUP(1,(Figures[[#This Row],[Chapter]]=ContentTable[Chapter])*(Figures[[#This Row],[Section]]=ContentTable[Section]),ContentTable[Section (Step)],"")</f>
        <v>Identify New Capability Requirements</v>
      </c>
      <c r="J27" s="356">
        <v>13</v>
      </c>
      <c r="K27" s="357" t="s">
        <v>619</v>
      </c>
      <c r="L27" s="358" t="s">
        <v>140</v>
      </c>
      <c r="M27" s="11" t="str">
        <f>Figures[[#This Row],[Type]]&amp;"-"&amp;Figures[[#This Row],['#]]&amp;". "&amp;Figures[[#This Row],[Name]]</f>
        <v>F-13. Competitive Advantage and Core Competency Comparison</v>
      </c>
    </row>
    <row r="28" spans="1:13" x14ac:dyDescent="0.15">
      <c r="A28" s="11">
        <v>5</v>
      </c>
      <c r="B28" s="12">
        <v>3</v>
      </c>
      <c r="C28" s="11" t="s">
        <v>77</v>
      </c>
      <c r="D28" s="13" t="s">
        <v>2196</v>
      </c>
      <c r="F28" s="13">
        <v>5</v>
      </c>
      <c r="G28" s="13">
        <v>5</v>
      </c>
      <c r="H28" s="11" t="str" cm="1">
        <f t="array" ref="H28">_xlfn.XLOOKUP(1,(Figures[[#This Row],[Chapter]]=ContentTable[Chapter])*(Figures[[#This Row],[Section]]=ContentTable[Section]),ContentTable[Title],"")</f>
        <v>Capability-Based Assessment (CBA)</v>
      </c>
      <c r="I28" s="13" t="str" cm="1">
        <f t="array" ref="I28">_xlfn.XLOOKUP(1,(Figures[[#This Row],[Chapter]]=ContentTable[Chapter])*(Figures[[#This Row],[Section]]=ContentTable[Section]),ContentTable[Section (Step)],"")</f>
        <v>Priortize Solutions</v>
      </c>
      <c r="J28" s="356">
        <v>14</v>
      </c>
      <c r="K28" s="357" t="s">
        <v>130</v>
      </c>
      <c r="L28" s="358" t="s">
        <v>1995</v>
      </c>
      <c r="M28" s="11" t="str">
        <f>Figures[[#This Row],[Type]]&amp;"-"&amp;Figures[[#This Row],['#]]&amp;". "&amp;Figures[[#This Row],[Name]]</f>
        <v>T-14. Integrated Priority List (IPL) Table</v>
      </c>
    </row>
    <row r="29" spans="1:13" x14ac:dyDescent="0.15">
      <c r="A29" s="11">
        <v>5</v>
      </c>
      <c r="B29" s="12">
        <v>4</v>
      </c>
      <c r="C29" s="11" t="s">
        <v>77</v>
      </c>
      <c r="D29" s="13" t="s">
        <v>2197</v>
      </c>
      <c r="F29" s="13">
        <v>6</v>
      </c>
      <c r="G29" s="13">
        <v>1</v>
      </c>
      <c r="H29" s="11" t="str" cm="1">
        <f t="array" ref="H29">_xlfn.XLOOKUP(1,(Figures[[#This Row],[Chapter]]=ContentTable[Chapter])*(Figures[[#This Row],[Section]]=ContentTable[Section]),ContentTable[Title],"")</f>
        <v>Environmental Framing</v>
      </c>
      <c r="I29" s="13" t="str" cm="1">
        <f t="array" ref="I29">_xlfn.XLOOKUP(1,(Figures[[#This Row],[Chapter]]=ContentTable[Chapter])*(Figures[[#This Row],[Section]]=ContentTable[Section]),ContentTable[Section (Step)],"")</f>
        <v>Conduct SWOT Assessment</v>
      </c>
      <c r="J29" s="356">
        <v>14</v>
      </c>
      <c r="K29" s="357" t="s">
        <v>619</v>
      </c>
      <c r="L29" s="358" t="s">
        <v>2181</v>
      </c>
      <c r="M29" s="11" t="str">
        <f>Figures[[#This Row],[Type]]&amp;"-"&amp;Figures[[#This Row],['#]]&amp;". "&amp;Figures[[#This Row],[Name]]</f>
        <v>F-14. Problem Framing</v>
      </c>
    </row>
    <row r="30" spans="1:13" x14ac:dyDescent="0.15">
      <c r="A30" s="11">
        <v>5</v>
      </c>
      <c r="B30" s="12">
        <v>5</v>
      </c>
      <c r="C30" s="11" t="s">
        <v>77</v>
      </c>
      <c r="D30" s="13" t="s">
        <v>2270</v>
      </c>
      <c r="F30" s="13">
        <v>6</v>
      </c>
      <c r="G30" s="11">
        <v>2</v>
      </c>
      <c r="H30" s="11" t="str" cm="1">
        <f t="array" ref="H30">_xlfn.XLOOKUP(1,(Figures[[#This Row],[Chapter]]=ContentTable[Chapter])*(Figures[[#This Row],[Section]]=ContentTable[Section]),ContentTable[Title],"")</f>
        <v>Environmental Framing</v>
      </c>
      <c r="I30" s="13" t="str" cm="1">
        <f t="array" ref="I30">_xlfn.XLOOKUP(1,(Figures[[#This Row],[Chapter]]=ContentTable[Chapter])*(Figures[[#This Row],[Section]]=ContentTable[Section]),ContentTable[Section (Step)],"")</f>
        <v>Analyze the COG</v>
      </c>
      <c r="J30" s="356">
        <v>15</v>
      </c>
      <c r="K30" s="357" t="s">
        <v>130</v>
      </c>
      <c r="L30" s="358" t="s">
        <v>141</v>
      </c>
      <c r="M30" s="11" t="str">
        <f>Figures[[#This Row],[Type]]&amp;"-"&amp;Figures[[#This Row],['#]]&amp;". "&amp;Figures[[#This Row],[Name]]</f>
        <v>T-15. SWOT-COG Analysis Table</v>
      </c>
    </row>
    <row r="31" spans="1:13" x14ac:dyDescent="0.15">
      <c r="A31" s="11">
        <v>6</v>
      </c>
      <c r="B31" s="12">
        <v>1</v>
      </c>
      <c r="C31" s="11" t="s">
        <v>78</v>
      </c>
      <c r="D31" s="13" t="s">
        <v>111</v>
      </c>
      <c r="F31" s="13">
        <v>6</v>
      </c>
      <c r="G31" s="13">
        <v>3</v>
      </c>
      <c r="H31" s="11" t="str" cm="1">
        <f t="array" ref="H31">_xlfn.XLOOKUP(1,(Figures[[#This Row],[Chapter]]=ContentTable[Chapter])*(Figures[[#This Row],[Section]]=ContentTable[Section]),ContentTable[Title],"")</f>
        <v>Environmental Framing</v>
      </c>
      <c r="I31" s="13" t="str" cm="1">
        <f t="array" ref="I31">_xlfn.XLOOKUP(1,(Figures[[#This Row],[Chapter]]=ContentTable[Chapter])*(Figures[[#This Row],[Section]]=ContentTable[Section]),ContentTable[Section (Step)],"")</f>
        <v>Draft Endstate</v>
      </c>
      <c r="J31" s="356">
        <v>16</v>
      </c>
      <c r="K31" s="357" t="s">
        <v>130</v>
      </c>
      <c r="L31" s="358" t="s">
        <v>142</v>
      </c>
      <c r="M31" s="11" t="str">
        <f>Figures[[#This Row],[Type]]&amp;"-"&amp;Figures[[#This Row],['#]]&amp;". "&amp;Figures[[#This Row],[Name]]</f>
        <v>T-16. Strategy Table</v>
      </c>
    </row>
    <row r="32" spans="1:13" x14ac:dyDescent="0.15">
      <c r="A32" s="11">
        <v>6</v>
      </c>
      <c r="B32" s="12">
        <v>2</v>
      </c>
      <c r="C32" s="11" t="s">
        <v>78</v>
      </c>
      <c r="D32" s="13" t="s">
        <v>2198</v>
      </c>
      <c r="F32" s="13">
        <v>7</v>
      </c>
      <c r="G32" s="13">
        <v>1</v>
      </c>
      <c r="H32" s="11" t="str" cm="1">
        <f t="array" ref="H32">_xlfn.XLOOKUP(1,(Figures[[#This Row],[Chapter]]=ContentTable[Chapter])*(Figures[[#This Row],[Section]]=ContentTable[Section]),ContentTable[Title],"")</f>
        <v>Strategic Approach</v>
      </c>
      <c r="I32" s="13" t="str" cm="1">
        <f t="array" ref="I32">_xlfn.XLOOKUP(1,(Figures[[#This Row],[Chapter]]=ContentTable[Chapter])*(Figures[[#This Row],[Section]]=ContentTable[Section]),ContentTable[Section (Step)],"")</f>
        <v>Create Strategic Goals</v>
      </c>
      <c r="J32" s="356">
        <v>15</v>
      </c>
      <c r="K32" s="357" t="s">
        <v>619</v>
      </c>
      <c r="L32" s="358" t="s">
        <v>79</v>
      </c>
      <c r="M32" s="11" t="str">
        <f>Figures[[#This Row],[Type]]&amp;"-"&amp;Figures[[#This Row],['#]]&amp;". "&amp;Figures[[#This Row],[Name]]</f>
        <v>F-15. Strategic Approach</v>
      </c>
    </row>
    <row r="33" spans="1:13" x14ac:dyDescent="0.15">
      <c r="A33" s="11">
        <v>6</v>
      </c>
      <c r="B33" s="12">
        <v>3</v>
      </c>
      <c r="C33" s="11" t="s">
        <v>78</v>
      </c>
      <c r="D33" s="13" t="s">
        <v>112</v>
      </c>
      <c r="F33" s="13">
        <v>7</v>
      </c>
      <c r="G33" s="13">
        <v>4</v>
      </c>
      <c r="H33" s="11" t="str" cm="1">
        <f t="array" ref="H33">_xlfn.XLOOKUP(1,(Figures[[#This Row],[Chapter]]=ContentTable[Chapter])*(Figures[[#This Row],[Section]]=ContentTable[Section]),ContentTable[Title],"")</f>
        <v>Strategic Approach</v>
      </c>
      <c r="I33" s="13" t="str" cm="1">
        <f t="array" ref="I33">_xlfn.XLOOKUP(1,(Figures[[#This Row],[Chapter]]=ContentTable[Chapter])*(Figures[[#This Row],[Section]]=ContentTable[Section]),ContentTable[Section (Step)],"")</f>
        <v>Align Ognizational Features</v>
      </c>
      <c r="J33" s="356">
        <v>16</v>
      </c>
      <c r="K33" s="357" t="s">
        <v>619</v>
      </c>
      <c r="L33" s="358" t="s">
        <v>2178</v>
      </c>
      <c r="M33" s="11" t="str">
        <f>Figures[[#This Row],[Type]]&amp;"-"&amp;Figures[[#This Row],['#]]&amp;". "&amp;Figures[[#This Row],[Name]]</f>
        <v>F-16. 9S Internal Alignment Model</v>
      </c>
    </row>
    <row r="34" spans="1:13" x14ac:dyDescent="0.15">
      <c r="A34" s="11">
        <v>6</v>
      </c>
      <c r="B34" s="12">
        <v>4</v>
      </c>
      <c r="C34" s="11" t="s">
        <v>78</v>
      </c>
      <c r="D34" s="13" t="s">
        <v>100</v>
      </c>
      <c r="F34" s="13">
        <v>7</v>
      </c>
      <c r="G34" s="13">
        <v>4</v>
      </c>
      <c r="H34" s="11" t="str" cm="1">
        <f t="array" ref="H34">_xlfn.XLOOKUP(1,(Figures[[#This Row],[Chapter]]=ContentTable[Chapter])*(Figures[[#This Row],[Section]]=ContentTable[Section]),ContentTable[Title],"")</f>
        <v>Strategic Approach</v>
      </c>
      <c r="I34" s="13" t="str" cm="1">
        <f t="array" ref="I34">_xlfn.XLOOKUP(1,(Figures[[#This Row],[Chapter]]=ContentTable[Chapter])*(Figures[[#This Row],[Section]]=ContentTable[Section]),ContentTable[Section (Step)],"")</f>
        <v>Align Ognizational Features</v>
      </c>
      <c r="J34" s="356">
        <v>17</v>
      </c>
      <c r="K34" s="357" t="s">
        <v>130</v>
      </c>
      <c r="L34" s="358" t="s">
        <v>1490</v>
      </c>
      <c r="M34" s="11" t="str">
        <f>Figures[[#This Row],[Type]]&amp;"-"&amp;Figures[[#This Row],['#]]&amp;". "&amp;Figures[[#This Row],[Name]]</f>
        <v>T-17. 9S Table</v>
      </c>
    </row>
    <row r="35" spans="1:13" x14ac:dyDescent="0.15">
      <c r="A35" s="11">
        <v>6</v>
      </c>
      <c r="B35" s="12">
        <v>5</v>
      </c>
      <c r="C35" s="11" t="s">
        <v>78</v>
      </c>
      <c r="D35" s="13" t="s">
        <v>101</v>
      </c>
      <c r="F35" s="13">
        <v>7</v>
      </c>
      <c r="G35" s="13">
        <v>4</v>
      </c>
      <c r="H35" s="11" t="str" cm="1">
        <f t="array" ref="H35">_xlfn.XLOOKUP(1,(Figures[[#This Row],[Chapter]]=ContentTable[Chapter])*(Figures[[#This Row],[Section]]=ContentTable[Section]),ContentTable[Title],"")</f>
        <v>Strategic Approach</v>
      </c>
      <c r="I35" s="13" t="str" cm="1">
        <f t="array" ref="I35">_xlfn.XLOOKUP(1,(Figures[[#This Row],[Chapter]]=ContentTable[Chapter])*(Figures[[#This Row],[Section]]=ContentTable[Section]),ContentTable[Section (Step)],"")</f>
        <v>Align Ognizational Features</v>
      </c>
      <c r="J35" s="356">
        <v>17</v>
      </c>
      <c r="K35" s="357" t="s">
        <v>619</v>
      </c>
      <c r="L35" s="358" t="s">
        <v>153</v>
      </c>
      <c r="M35" s="11" t="str">
        <f>Figures[[#This Row],[Type]]&amp;"-"&amp;Figures[[#This Row],['#]]&amp;". "&amp;Figures[[#This Row],[Name]]</f>
        <v>F-17. Stakeholder Matrix</v>
      </c>
    </row>
    <row r="36" spans="1:13" x14ac:dyDescent="0.15">
      <c r="A36" s="11">
        <v>7</v>
      </c>
      <c r="B36" s="12">
        <v>1</v>
      </c>
      <c r="C36" s="11" t="s">
        <v>79</v>
      </c>
      <c r="D36" s="14" t="s">
        <v>113</v>
      </c>
      <c r="F36" s="13">
        <v>7</v>
      </c>
      <c r="G36" s="13">
        <v>4</v>
      </c>
      <c r="H36" s="11" t="str" cm="1">
        <f t="array" ref="H36">_xlfn.XLOOKUP(1,(Figures[[#This Row],[Chapter]]=ContentTable[Chapter])*(Figures[[#This Row],[Section]]=ContentTable[Section]),ContentTable[Title],"")</f>
        <v>Strategic Approach</v>
      </c>
      <c r="I36" s="13" t="str" cm="1">
        <f t="array" ref="I36">_xlfn.XLOOKUP(1,(Figures[[#This Row],[Chapter]]=ContentTable[Chapter])*(Figures[[#This Row],[Section]]=ContentTable[Section]),ContentTable[Section (Step)],"")</f>
        <v>Align Ognizational Features</v>
      </c>
      <c r="J36" s="356">
        <v>18</v>
      </c>
      <c r="K36" s="357" t="s">
        <v>130</v>
      </c>
      <c r="L36" s="358" t="s">
        <v>143</v>
      </c>
      <c r="M36" s="11" t="str">
        <f>Figures[[#This Row],[Type]]&amp;"-"&amp;Figures[[#This Row],['#]]&amp;". "&amp;Figures[[#This Row],[Name]]</f>
        <v>T-18. Stakeholder Table</v>
      </c>
    </row>
    <row r="37" spans="1:13" x14ac:dyDescent="0.15">
      <c r="A37" s="11">
        <v>7</v>
      </c>
      <c r="B37" s="12">
        <v>2</v>
      </c>
      <c r="C37" s="11" t="s">
        <v>79</v>
      </c>
      <c r="D37" s="14" t="s">
        <v>2199</v>
      </c>
      <c r="F37" s="13">
        <v>8</v>
      </c>
      <c r="G37" s="13">
        <v>3</v>
      </c>
      <c r="H37" s="11" t="str" cm="1">
        <f t="array" ref="H37">_xlfn.XLOOKUP(1,(Figures[[#This Row],[Chapter]]=ContentTable[Chapter])*(Figures[[#This Row],[Section]]=ContentTable[Section]),ContentTable[Title],"")</f>
        <v>CONOP Development</v>
      </c>
      <c r="I37" s="13" t="str" cm="1">
        <f t="array" ref="I37">_xlfn.XLOOKUP(1,(Figures[[#This Row],[Chapter]]=ContentTable[Chapter])*(Figures[[#This Row],[Section]]=ContentTable[Section]),ContentTable[Section (Step)],"")</f>
        <v>Synchronize the CONOP</v>
      </c>
      <c r="J37" s="356">
        <v>18</v>
      </c>
      <c r="K37" s="357" t="s">
        <v>619</v>
      </c>
      <c r="L37" s="358" t="s">
        <v>2188</v>
      </c>
      <c r="M37" s="11" t="str">
        <f>Figures[[#This Row],[Type]]&amp;"-"&amp;Figures[[#This Row],['#]]&amp;". "&amp;Figures[[#This Row],[Name]]</f>
        <v>F-18. CONOP Sketch</v>
      </c>
    </row>
    <row r="38" spans="1:13" x14ac:dyDescent="0.15">
      <c r="A38" s="11">
        <v>7</v>
      </c>
      <c r="B38" s="12">
        <v>3</v>
      </c>
      <c r="C38" s="11" t="s">
        <v>79</v>
      </c>
      <c r="D38" s="14" t="s">
        <v>102</v>
      </c>
      <c r="F38" s="13">
        <v>8</v>
      </c>
      <c r="G38" s="13">
        <v>3</v>
      </c>
      <c r="H38" s="11" t="str" cm="1">
        <f t="array" ref="H38">_xlfn.XLOOKUP(1,(Figures[[#This Row],[Chapter]]=ContentTable[Chapter])*(Figures[[#This Row],[Section]]=ContentTable[Section]),ContentTable[Title],"")</f>
        <v>CONOP Development</v>
      </c>
      <c r="I38" s="13" t="str" cm="1">
        <f t="array" ref="I38">_xlfn.XLOOKUP(1,(Figures[[#This Row],[Chapter]]=ContentTable[Chapter])*(Figures[[#This Row],[Section]]=ContentTable[Section]),ContentTable[Section (Step)],"")</f>
        <v>Synchronize the CONOP</v>
      </c>
      <c r="J38" s="356">
        <v>19</v>
      </c>
      <c r="K38" s="357" t="s">
        <v>130</v>
      </c>
      <c r="L38" s="358" t="s">
        <v>144</v>
      </c>
      <c r="M38" s="11" t="str">
        <f>Figures[[#This Row],[Type]]&amp;"-"&amp;Figures[[#This Row],['#]]&amp;". "&amp;Figures[[#This Row],[Name]]</f>
        <v>T-19. Decision Support Table</v>
      </c>
    </row>
    <row r="39" spans="1:13" x14ac:dyDescent="0.15">
      <c r="A39" s="11">
        <v>7</v>
      </c>
      <c r="B39" s="12">
        <v>4</v>
      </c>
      <c r="C39" s="11" t="s">
        <v>79</v>
      </c>
      <c r="D39" s="14" t="s">
        <v>103</v>
      </c>
      <c r="F39" s="13">
        <v>8</v>
      </c>
      <c r="G39" s="13">
        <v>4</v>
      </c>
      <c r="H39" s="11" t="str" cm="1">
        <f t="array" ref="H39">_xlfn.XLOOKUP(1,(Figures[[#This Row],[Chapter]]=ContentTable[Chapter])*(Figures[[#This Row],[Section]]=ContentTable[Section]),ContentTable[Title],"")</f>
        <v>CONOP Development</v>
      </c>
      <c r="I39" s="13" t="str" cm="1">
        <f t="array" ref="I39">_xlfn.XLOOKUP(1,(Figures[[#This Row],[Chapter]]=ContentTable[Chapter])*(Figures[[#This Row],[Section]]=ContentTable[Section]),ContentTable[Section (Step)],"")</f>
        <v>Evaluate the CONOP</v>
      </c>
      <c r="J39" s="356">
        <v>20</v>
      </c>
      <c r="K39" s="357" t="s">
        <v>130</v>
      </c>
      <c r="L39" s="358" t="s">
        <v>1700</v>
      </c>
      <c r="M39" s="11" t="str">
        <f>Figures[[#This Row],[Type]]&amp;"-"&amp;Figures[[#This Row],['#]]&amp;". "&amp;Figures[[#This Row],[Name]]</f>
        <v>T-20. Evaluation Table</v>
      </c>
    </row>
    <row r="40" spans="1:13" x14ac:dyDescent="0.15">
      <c r="A40" s="11">
        <v>7</v>
      </c>
      <c r="B40" s="12">
        <v>5</v>
      </c>
      <c r="C40" s="11" t="s">
        <v>79</v>
      </c>
      <c r="D40" s="14" t="s">
        <v>114</v>
      </c>
      <c r="F40" s="13">
        <v>8</v>
      </c>
      <c r="G40" s="13">
        <v>5</v>
      </c>
      <c r="H40" s="11" t="str" cm="1">
        <f t="array" ref="H40">_xlfn.XLOOKUP(1,(Figures[[#This Row],[Chapter]]=ContentTable[Chapter])*(Figures[[#This Row],[Section]]=ContentTable[Section]),ContentTable[Title],"")</f>
        <v>CONOP Development</v>
      </c>
      <c r="I40" s="13" t="str" cm="1">
        <f t="array" ref="I40">_xlfn.XLOOKUP(1,(Figures[[#This Row],[Chapter]]=ContentTable[Chapter])*(Figures[[#This Row],[Section]]=ContentTable[Section]),ContentTable[Section (Step)],"")</f>
        <v>Simulate CONOP</v>
      </c>
      <c r="J40" s="356">
        <v>21</v>
      </c>
      <c r="K40" s="357" t="s">
        <v>130</v>
      </c>
      <c r="L40" s="358" t="s">
        <v>145</v>
      </c>
      <c r="M40" s="11" t="str">
        <f>Figures[[#This Row],[Type]]&amp;"-"&amp;Figures[[#This Row],['#]]&amp;". "&amp;Figures[[#This Row],[Name]]</f>
        <v>T-21. Sync Matrix</v>
      </c>
    </row>
    <row r="41" spans="1:13" x14ac:dyDescent="0.15">
      <c r="A41" s="11">
        <v>8</v>
      </c>
      <c r="B41" s="12">
        <v>1</v>
      </c>
      <c r="C41" s="11" t="s">
        <v>121</v>
      </c>
      <c r="D41" s="13" t="s">
        <v>2200</v>
      </c>
      <c r="F41" s="13">
        <v>9</v>
      </c>
      <c r="G41" s="13">
        <v>3</v>
      </c>
      <c r="H41" s="11" t="str" cm="1">
        <f t="array" ref="H41">_xlfn.XLOOKUP(1,(Figures[[#This Row],[Chapter]]=ContentTable[Chapter])*(Figures[[#This Row],[Section]]=ContentTable[Section]),ContentTable[Title],"")</f>
        <v>Means &amp; Risk Management (MRM)</v>
      </c>
      <c r="I41" s="13" t="str" cm="1">
        <f t="array" ref="I41">_xlfn.XLOOKUP(1,(Figures[[#This Row],[Chapter]]=ContentTable[Chapter])*(Figures[[#This Row],[Section]]=ContentTable[Section]),ContentTable[Section (Step)],"")</f>
        <v>Identify Risk</v>
      </c>
      <c r="J41" s="356">
        <v>22</v>
      </c>
      <c r="K41" s="357" t="s">
        <v>130</v>
      </c>
      <c r="L41" s="358" t="s">
        <v>147</v>
      </c>
      <c r="M41" s="11" t="str">
        <f>Figures[[#This Row],[Type]]&amp;"-"&amp;Figures[[#This Row],['#]]&amp;". "&amp;Figures[[#This Row],[Name]]</f>
        <v>T-22. Risk Register</v>
      </c>
    </row>
    <row r="42" spans="1:13" x14ac:dyDescent="0.15">
      <c r="A42" s="11">
        <v>8</v>
      </c>
      <c r="B42" s="12">
        <v>2</v>
      </c>
      <c r="C42" s="11" t="s">
        <v>121</v>
      </c>
      <c r="D42" s="13" t="s">
        <v>116</v>
      </c>
      <c r="F42" s="13">
        <v>9</v>
      </c>
      <c r="G42" s="13">
        <v>4</v>
      </c>
      <c r="H42" s="11" t="str" cm="1">
        <f t="array" ref="H42">_xlfn.XLOOKUP(1,(Figures[[#This Row],[Chapter]]=ContentTable[Chapter])*(Figures[[#This Row],[Section]]=ContentTable[Section]),ContentTable[Title],"")</f>
        <v>Means &amp; Risk Management (MRM)</v>
      </c>
      <c r="I42" s="13" t="str" cm="1">
        <f t="array" ref="I42">_xlfn.XLOOKUP(1,(Figures[[#This Row],[Chapter]]=ContentTable[Chapter])*(Figures[[#This Row],[Section]]=ContentTable[Section]),ContentTable[Section (Step)],"")</f>
        <v>Mitigate Risk</v>
      </c>
      <c r="J42" s="356">
        <v>19</v>
      </c>
      <c r="K42" s="357" t="s">
        <v>619</v>
      </c>
      <c r="L42" s="358" t="s">
        <v>146</v>
      </c>
      <c r="M42" s="11" t="str">
        <f>Figures[[#This Row],[Type]]&amp;"-"&amp;Figures[[#This Row],['#]]&amp;". "&amp;Figures[[#This Row],[Name]]</f>
        <v>F-19. Risk Analysis Matrix</v>
      </c>
    </row>
    <row r="43" spans="1:13" x14ac:dyDescent="0.15">
      <c r="A43" s="11">
        <v>8</v>
      </c>
      <c r="B43" s="12">
        <v>3</v>
      </c>
      <c r="C43" s="11" t="s">
        <v>121</v>
      </c>
      <c r="D43" s="13" t="s">
        <v>2201</v>
      </c>
      <c r="F43" s="13">
        <v>10</v>
      </c>
      <c r="G43" s="13">
        <v>1</v>
      </c>
      <c r="H43" s="11" t="str" cm="1">
        <f t="array" ref="H43">_xlfn.XLOOKUP(1,(Figures[[#This Row],[Chapter]]=ContentTable[Chapter])*(Figures[[#This Row],[Section]]=ContentTable[Section]),ContentTable[Title],"")</f>
        <v>Assesment</v>
      </c>
      <c r="I43" s="13" t="str" cm="1">
        <f t="array" ref="I43">_xlfn.XLOOKUP(1,(Figures[[#This Row],[Chapter]]=ContentTable[Chapter])*(Figures[[#This Row],[Section]]=ContentTable[Section]),ContentTable[Section (Step)],"")</f>
        <v>Plan and Target</v>
      </c>
      <c r="J43" s="356">
        <v>23</v>
      </c>
      <c r="K43" s="357" t="s">
        <v>130</v>
      </c>
      <c r="L43" s="358" t="s">
        <v>426</v>
      </c>
      <c r="M43" s="11" t="str">
        <f>Figures[[#This Row],[Type]]&amp;"-"&amp;Figures[[#This Row],['#]]&amp;". "&amp;Figures[[#This Row],[Name]]</f>
        <v>T-23. Assessment Table</v>
      </c>
    </row>
    <row r="44" spans="1:13" x14ac:dyDescent="0.15">
      <c r="A44" s="11">
        <v>8</v>
      </c>
      <c r="B44" s="12">
        <v>4</v>
      </c>
      <c r="C44" s="11" t="s">
        <v>121</v>
      </c>
      <c r="D44" s="13" t="s">
        <v>2202</v>
      </c>
    </row>
    <row r="45" spans="1:13" x14ac:dyDescent="0.15">
      <c r="A45" s="11">
        <v>8</v>
      </c>
      <c r="B45" s="12">
        <v>5</v>
      </c>
      <c r="C45" s="11" t="s">
        <v>121</v>
      </c>
      <c r="D45" s="13" t="s">
        <v>120</v>
      </c>
    </row>
    <row r="46" spans="1:13" x14ac:dyDescent="0.15">
      <c r="A46" s="13">
        <v>9</v>
      </c>
      <c r="B46" s="12">
        <v>1</v>
      </c>
      <c r="C46" s="13" t="s">
        <v>122</v>
      </c>
      <c r="D46" s="13" t="s">
        <v>2203</v>
      </c>
    </row>
    <row r="47" spans="1:13" x14ac:dyDescent="0.15">
      <c r="A47" s="13">
        <v>9</v>
      </c>
      <c r="B47" s="12">
        <v>2</v>
      </c>
      <c r="C47" s="13" t="s">
        <v>122</v>
      </c>
      <c r="D47" s="13" t="s">
        <v>2204</v>
      </c>
    </row>
    <row r="48" spans="1:13" x14ac:dyDescent="0.15">
      <c r="A48" s="13">
        <v>9</v>
      </c>
      <c r="B48" s="12">
        <v>3</v>
      </c>
      <c r="C48" s="13" t="s">
        <v>122</v>
      </c>
      <c r="D48" s="13" t="s">
        <v>104</v>
      </c>
    </row>
    <row r="49" spans="1:4" x14ac:dyDescent="0.15">
      <c r="A49" s="13">
        <v>9</v>
      </c>
      <c r="B49" s="12">
        <v>4</v>
      </c>
      <c r="C49" s="13" t="s">
        <v>122</v>
      </c>
      <c r="D49" s="13" t="s">
        <v>168</v>
      </c>
    </row>
    <row r="50" spans="1:4" x14ac:dyDescent="0.15">
      <c r="A50" s="13">
        <v>9</v>
      </c>
      <c r="B50" s="12">
        <v>5</v>
      </c>
      <c r="C50" s="13" t="s">
        <v>122</v>
      </c>
      <c r="D50" s="13" t="s">
        <v>105</v>
      </c>
    </row>
    <row r="51" spans="1:4" x14ac:dyDescent="0.15">
      <c r="A51" s="13">
        <v>10</v>
      </c>
      <c r="B51" s="12">
        <v>1</v>
      </c>
      <c r="C51" s="13" t="s">
        <v>85</v>
      </c>
      <c r="D51" s="13" t="s">
        <v>123</v>
      </c>
    </row>
    <row r="52" spans="1:4" x14ac:dyDescent="0.15">
      <c r="A52" s="13">
        <v>10</v>
      </c>
      <c r="B52" s="12">
        <v>2</v>
      </c>
      <c r="C52" s="13" t="s">
        <v>85</v>
      </c>
      <c r="D52" s="13" t="s">
        <v>124</v>
      </c>
    </row>
    <row r="53" spans="1:4" x14ac:dyDescent="0.15">
      <c r="A53" s="13">
        <v>10</v>
      </c>
      <c r="B53" s="12">
        <v>3</v>
      </c>
      <c r="C53" s="13" t="s">
        <v>85</v>
      </c>
      <c r="D53" s="13" t="s">
        <v>125</v>
      </c>
    </row>
    <row r="54" spans="1:4" x14ac:dyDescent="0.15">
      <c r="A54" s="13">
        <v>10</v>
      </c>
      <c r="B54" s="12">
        <v>4</v>
      </c>
      <c r="C54" s="13" t="s">
        <v>85</v>
      </c>
      <c r="D54" s="13" t="s">
        <v>126</v>
      </c>
    </row>
    <row r="55" spans="1:4" x14ac:dyDescent="0.15">
      <c r="A55" s="13">
        <v>10</v>
      </c>
      <c r="B55" s="12">
        <v>5</v>
      </c>
      <c r="C55" s="13" t="s">
        <v>85</v>
      </c>
      <c r="D55" s="13" t="s">
        <v>127</v>
      </c>
    </row>
    <row r="56" spans="1:4" x14ac:dyDescent="0.15">
      <c r="A56" s="13">
        <v>11</v>
      </c>
      <c r="B56" s="16">
        <v>1</v>
      </c>
      <c r="C56" s="13" t="s">
        <v>86</v>
      </c>
      <c r="D56" s="13" t="s">
        <v>2205</v>
      </c>
    </row>
    <row r="57" spans="1:4" x14ac:dyDescent="0.15">
      <c r="A57" s="13">
        <v>11</v>
      </c>
      <c r="B57" s="16">
        <v>2</v>
      </c>
      <c r="C57" s="13" t="s">
        <v>86</v>
      </c>
      <c r="D57" s="13" t="s">
        <v>2206</v>
      </c>
    </row>
    <row r="58" spans="1:4" x14ac:dyDescent="0.15">
      <c r="A58" s="13">
        <v>11</v>
      </c>
      <c r="B58" s="16">
        <v>3</v>
      </c>
      <c r="C58" s="13" t="s">
        <v>86</v>
      </c>
      <c r="D58" s="13" t="s">
        <v>70</v>
      </c>
    </row>
    <row r="59" spans="1:4" x14ac:dyDescent="0.15">
      <c r="A59" s="13">
        <v>11</v>
      </c>
      <c r="B59" s="16">
        <v>4</v>
      </c>
      <c r="C59" s="13" t="s">
        <v>86</v>
      </c>
      <c r="D59" s="13" t="s">
        <v>2207</v>
      </c>
    </row>
    <row r="60" spans="1:4" x14ac:dyDescent="0.15">
      <c r="A60" s="13">
        <v>11</v>
      </c>
      <c r="B60" s="16">
        <v>5</v>
      </c>
      <c r="C60" s="13" t="s">
        <v>86</v>
      </c>
      <c r="D60" s="13" t="s">
        <v>2208</v>
      </c>
    </row>
  </sheetData>
  <phoneticPr fontId="1" type="noConversion"/>
  <dataValidations count="3">
    <dataValidation type="list" allowBlank="1" showInputMessage="1" showErrorMessage="1" sqref="F17:F43 F2:F16" xr:uid="{F0B5E730-878B-5F46-B1FD-644D786A5AD6}">
      <formula1>"0,1,2,3,4,5,6,7,8,9,10"</formula1>
    </dataValidation>
    <dataValidation type="list" allowBlank="1" showInputMessage="1" showErrorMessage="1" sqref="G17:G43 G2:G16" xr:uid="{AA0629F3-08ED-3844-81E3-ABE0DAEF5BBA}">
      <formula1>"0,1,2,3,4,5,6"</formula1>
    </dataValidation>
    <dataValidation type="list" allowBlank="1" showInputMessage="1" showErrorMessage="1" sqref="K17:K43 K2:K16" xr:uid="{0F3BA91E-22CD-004A-88CD-21EDFF957809}">
      <formula1>"T,F,O"</formula1>
    </dataValidation>
  </dataValidations>
  <pageMargins left="0.7" right="0.7" top="0.75" bottom="0.75" header="0.3" footer="0.3"/>
  <pageSetup orientation="portrait" horizontalDpi="0" verticalDpi="0"/>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61E79-F249-5C46-A84A-0EDC099E9765}">
  <sheetPr>
    <tabColor theme="9" tint="-0.499984740745262"/>
  </sheetPr>
  <dimension ref="A1:AV28"/>
  <sheetViews>
    <sheetView zoomScale="130" zoomScaleNormal="130" workbookViewId="0">
      <selection activeCell="D15" sqref="D15"/>
    </sheetView>
  </sheetViews>
  <sheetFormatPr baseColWidth="10" defaultRowHeight="14" x14ac:dyDescent="0.15"/>
  <cols>
    <col min="1" max="1" width="5.83203125" style="6" customWidth="1"/>
    <col min="2" max="2" width="27.1640625" style="17" bestFit="1" customWidth="1"/>
    <col min="3" max="3" width="56" style="6" customWidth="1"/>
    <col min="4" max="4" width="146.5" style="6" customWidth="1"/>
    <col min="5" max="16384" width="10.83203125" style="6"/>
  </cols>
  <sheetData>
    <row r="1" spans="1:48" ht="16" x14ac:dyDescent="0.2">
      <c r="A1" s="447" t="s">
        <v>2220</v>
      </c>
      <c r="B1" s="447"/>
      <c r="C1" s="447"/>
      <c r="D1" s="447"/>
    </row>
    <row r="2" spans="1:48" ht="15" x14ac:dyDescent="0.15">
      <c r="A2" s="9" t="s">
        <v>228</v>
      </c>
      <c r="B2" s="48" t="s">
        <v>171</v>
      </c>
      <c r="C2" s="49" t="s">
        <v>63</v>
      </c>
      <c r="D2" s="48" t="s">
        <v>623</v>
      </c>
    </row>
    <row r="3" spans="1:48" ht="16" x14ac:dyDescent="0.15">
      <c r="A3" s="111" t="s">
        <v>472</v>
      </c>
      <c r="B3" s="112" t="s">
        <v>132</v>
      </c>
      <c r="C3" s="112"/>
      <c r="D3" s="113" t="s">
        <v>624</v>
      </c>
    </row>
    <row r="4" spans="1:48" ht="16" x14ac:dyDescent="0.15">
      <c r="A4" s="111" t="s">
        <v>472</v>
      </c>
      <c r="B4" s="112" t="s">
        <v>475</v>
      </c>
      <c r="C4" s="112"/>
      <c r="D4" s="113" t="s">
        <v>625</v>
      </c>
    </row>
    <row r="5" spans="1:48" ht="32" x14ac:dyDescent="0.15">
      <c r="A5" s="111" t="s">
        <v>472</v>
      </c>
      <c r="B5" s="112" t="s">
        <v>476</v>
      </c>
      <c r="C5" s="112" t="s">
        <v>2209</v>
      </c>
      <c r="D5" s="113" t="s">
        <v>633</v>
      </c>
    </row>
    <row r="6" spans="1:48" s="13" customFormat="1" ht="16" x14ac:dyDescent="0.15">
      <c r="A6" s="111" t="s">
        <v>472</v>
      </c>
      <c r="B6" s="112" t="s">
        <v>438</v>
      </c>
      <c r="C6" s="112"/>
      <c r="D6" s="113" t="s">
        <v>626</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32" x14ac:dyDescent="0.15">
      <c r="A7" s="111" t="s">
        <v>226</v>
      </c>
      <c r="B7" s="112" t="s">
        <v>58</v>
      </c>
      <c r="C7" s="112" t="s">
        <v>2210</v>
      </c>
      <c r="D7" s="113" t="s">
        <v>634</v>
      </c>
    </row>
    <row r="8" spans="1:48" ht="32" x14ac:dyDescent="0.15">
      <c r="A8" s="111" t="s">
        <v>226</v>
      </c>
      <c r="B8" s="112" t="s">
        <v>57</v>
      </c>
      <c r="C8" s="112" t="s">
        <v>2211</v>
      </c>
      <c r="D8" s="113" t="s">
        <v>635</v>
      </c>
    </row>
    <row r="9" spans="1:48" ht="112" x14ac:dyDescent="0.15">
      <c r="A9" s="114" t="s">
        <v>226</v>
      </c>
      <c r="B9" s="113" t="s">
        <v>59</v>
      </c>
      <c r="C9" s="113" t="s">
        <v>2212</v>
      </c>
      <c r="D9" s="113" t="s">
        <v>636</v>
      </c>
    </row>
    <row r="10" spans="1:48" ht="96" x14ac:dyDescent="0.15">
      <c r="A10" s="111" t="s">
        <v>226</v>
      </c>
      <c r="B10" s="112" t="s">
        <v>56</v>
      </c>
      <c r="C10" s="112" t="s">
        <v>2213</v>
      </c>
      <c r="D10" s="113" t="s">
        <v>637</v>
      </c>
    </row>
    <row r="11" spans="1:48" ht="16" x14ac:dyDescent="0.15">
      <c r="A11" s="111" t="s">
        <v>226</v>
      </c>
      <c r="B11" s="112" t="s">
        <v>60</v>
      </c>
      <c r="C11" s="112" t="s">
        <v>2214</v>
      </c>
      <c r="D11" s="113"/>
    </row>
    <row r="12" spans="1:48" ht="32" x14ac:dyDescent="0.15">
      <c r="A12" s="114" t="s">
        <v>226</v>
      </c>
      <c r="B12" s="113" t="s">
        <v>12</v>
      </c>
      <c r="C12" s="113" t="s">
        <v>109</v>
      </c>
      <c r="D12" s="113" t="s">
        <v>1157</v>
      </c>
    </row>
    <row r="13" spans="1:48" ht="64" x14ac:dyDescent="0.15">
      <c r="A13" s="111" t="s">
        <v>226</v>
      </c>
      <c r="B13" s="112" t="s">
        <v>13</v>
      </c>
      <c r="C13" s="112" t="s">
        <v>25</v>
      </c>
      <c r="D13" s="113" t="s">
        <v>2293</v>
      </c>
    </row>
    <row r="14" spans="1:48" ht="32" x14ac:dyDescent="0.15">
      <c r="A14" s="111" t="s">
        <v>226</v>
      </c>
      <c r="B14" s="112" t="s">
        <v>110</v>
      </c>
      <c r="C14" s="112" t="s">
        <v>2215</v>
      </c>
      <c r="D14" s="113" t="s">
        <v>1156</v>
      </c>
    </row>
    <row r="15" spans="1:48" ht="96" x14ac:dyDescent="0.15">
      <c r="A15" s="111" t="s">
        <v>227</v>
      </c>
      <c r="B15" s="112" t="s">
        <v>10</v>
      </c>
      <c r="C15" s="112" t="s">
        <v>2216</v>
      </c>
      <c r="D15" s="113" t="s">
        <v>1158</v>
      </c>
    </row>
    <row r="16" spans="1:48" ht="48" x14ac:dyDescent="0.15">
      <c r="A16" s="111" t="s">
        <v>227</v>
      </c>
      <c r="B16" s="112" t="s">
        <v>11</v>
      </c>
      <c r="C16" s="112" t="s">
        <v>2217</v>
      </c>
      <c r="D16" s="113" t="s">
        <v>627</v>
      </c>
    </row>
    <row r="17" spans="1:10" ht="16" x14ac:dyDescent="0.15">
      <c r="A17" s="360"/>
      <c r="B17" s="361" t="s">
        <v>427</v>
      </c>
      <c r="C17" s="361"/>
      <c r="D17" s="362" t="s">
        <v>628</v>
      </c>
    </row>
    <row r="18" spans="1:10" ht="16" x14ac:dyDescent="0.15">
      <c r="A18" s="360"/>
      <c r="B18" s="361" t="s">
        <v>428</v>
      </c>
      <c r="C18" s="361"/>
      <c r="D18" s="568">
        <v>5142</v>
      </c>
    </row>
    <row r="19" spans="1:10" ht="16" x14ac:dyDescent="0.15">
      <c r="A19" s="360"/>
      <c r="B19" s="361" t="s">
        <v>429</v>
      </c>
      <c r="C19" s="361"/>
      <c r="D19" s="362" t="s">
        <v>629</v>
      </c>
    </row>
    <row r="20" spans="1:10" ht="16" x14ac:dyDescent="0.15">
      <c r="A20" s="363"/>
      <c r="B20" s="364" t="s">
        <v>430</v>
      </c>
      <c r="C20" s="364"/>
      <c r="D20" s="365">
        <v>2200000000</v>
      </c>
    </row>
    <row r="21" spans="1:10" ht="16" x14ac:dyDescent="0.15">
      <c r="A21" s="360"/>
      <c r="B21" s="362" t="s">
        <v>434</v>
      </c>
      <c r="C21" s="361"/>
      <c r="D21" s="361" t="s">
        <v>630</v>
      </c>
    </row>
    <row r="22" spans="1:10" ht="16" x14ac:dyDescent="0.15">
      <c r="A22" s="360"/>
      <c r="B22" s="361" t="s">
        <v>435</v>
      </c>
      <c r="C22" s="361"/>
      <c r="D22" s="361">
        <v>336992</v>
      </c>
    </row>
    <row r="23" spans="1:10" ht="18" x14ac:dyDescent="0.15">
      <c r="A23" s="360"/>
      <c r="B23" s="361" t="s">
        <v>436</v>
      </c>
      <c r="C23" s="361"/>
      <c r="D23" s="366" t="s">
        <v>631</v>
      </c>
    </row>
    <row r="24" spans="1:10" ht="21" customHeight="1" x14ac:dyDescent="0.15">
      <c r="A24" s="360"/>
      <c r="B24" s="361" t="s">
        <v>437</v>
      </c>
      <c r="C24" s="361"/>
      <c r="D24" s="362" t="s">
        <v>632</v>
      </c>
    </row>
    <row r="28" spans="1:10" x14ac:dyDescent="0.15">
      <c r="J28" s="15"/>
    </row>
  </sheetData>
  <mergeCells count="1">
    <mergeCell ref="A1:D1"/>
  </mergeCells>
  <hyperlinks>
    <hyperlink ref="D23" r:id="rId1" xr:uid="{E6CED004-481E-5943-B89C-801570439E5E}"/>
  </hyperlinks>
  <pageMargins left="0.7" right="0.7" top="0.75" bottom="0.75" header="0.3" footer="0.3"/>
  <pageSetup orientation="portrait" horizontalDpi="0" verticalDpi="0"/>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CFC98-0A95-B649-8581-6A0593A2CD7A}">
  <sheetPr>
    <tabColor theme="9" tint="-0.499984740745262"/>
  </sheetPr>
  <dimension ref="A1:J27"/>
  <sheetViews>
    <sheetView workbookViewId="0">
      <selection sqref="A1:F1"/>
    </sheetView>
  </sheetViews>
  <sheetFormatPr baseColWidth="10" defaultRowHeight="15" x14ac:dyDescent="0.2"/>
  <cols>
    <col min="1" max="1" width="43.1640625" style="119" bestFit="1" customWidth="1"/>
    <col min="2" max="2" width="135.5" style="119" bestFit="1" customWidth="1"/>
    <col min="3" max="3" width="54" style="119" customWidth="1"/>
    <col min="4" max="4" width="13.83203125" style="119" bestFit="1" customWidth="1"/>
    <col min="5" max="5" width="13" style="119" customWidth="1"/>
    <col min="6" max="6" width="9.6640625" style="119" bestFit="1" customWidth="1"/>
    <col min="7" max="16384" width="10.83203125" style="119"/>
  </cols>
  <sheetData>
    <row r="1" spans="1:6" ht="17" x14ac:dyDescent="0.25">
      <c r="A1" s="448" t="s">
        <v>2225</v>
      </c>
      <c r="B1" s="448"/>
      <c r="C1" s="448"/>
      <c r="D1" s="448"/>
      <c r="E1" s="448"/>
      <c r="F1" s="448"/>
    </row>
    <row r="2" spans="1:6" ht="17" x14ac:dyDescent="0.25">
      <c r="A2" s="448" t="s">
        <v>2226</v>
      </c>
      <c r="B2" s="448"/>
      <c r="C2" s="448"/>
      <c r="D2" s="448"/>
      <c r="E2" s="448"/>
      <c r="F2" s="448"/>
    </row>
    <row r="3" spans="1:6" ht="16" x14ac:dyDescent="0.2">
      <c r="A3" s="115" t="s">
        <v>171</v>
      </c>
      <c r="B3" s="116" t="s">
        <v>172</v>
      </c>
      <c r="C3" s="116" t="s">
        <v>173</v>
      </c>
      <c r="D3" s="116" t="s">
        <v>170</v>
      </c>
      <c r="E3" s="116" t="s">
        <v>128</v>
      </c>
      <c r="F3" s="117" t="s">
        <v>169</v>
      </c>
    </row>
    <row r="4" spans="1:6" ht="16" x14ac:dyDescent="0.2">
      <c r="A4" s="228" t="s">
        <v>1078</v>
      </c>
      <c r="B4" s="229" t="s">
        <v>1079</v>
      </c>
      <c r="C4" s="229" t="s">
        <v>622</v>
      </c>
      <c r="D4" s="229" t="s">
        <v>609</v>
      </c>
      <c r="E4" s="229" t="s">
        <v>594</v>
      </c>
      <c r="F4" s="230"/>
    </row>
    <row r="5" spans="1:6" ht="16" x14ac:dyDescent="0.2">
      <c r="A5" s="228" t="s">
        <v>1081</v>
      </c>
      <c r="B5" s="229" t="s">
        <v>1082</v>
      </c>
      <c r="C5" s="229" t="s">
        <v>1080</v>
      </c>
      <c r="D5" s="229" t="s">
        <v>609</v>
      </c>
      <c r="E5" s="229" t="s">
        <v>594</v>
      </c>
      <c r="F5" s="230"/>
    </row>
    <row r="6" spans="1:6" ht="16" x14ac:dyDescent="0.2">
      <c r="A6" s="228" t="s">
        <v>1084</v>
      </c>
      <c r="B6" s="229" t="s">
        <v>1085</v>
      </c>
      <c r="C6" s="229" t="s">
        <v>1083</v>
      </c>
      <c r="D6" s="229" t="s">
        <v>609</v>
      </c>
      <c r="E6" s="229" t="s">
        <v>594</v>
      </c>
      <c r="F6" s="230"/>
    </row>
    <row r="7" spans="1:6" ht="16" x14ac:dyDescent="0.2">
      <c r="A7" s="231" t="s">
        <v>1101</v>
      </c>
      <c r="B7" s="228" t="s">
        <v>1087</v>
      </c>
      <c r="C7" s="229" t="s">
        <v>1086</v>
      </c>
      <c r="D7" s="229" t="s">
        <v>440</v>
      </c>
      <c r="E7" s="229" t="s">
        <v>8</v>
      </c>
      <c r="F7" s="230" t="s">
        <v>192</v>
      </c>
    </row>
    <row r="8" spans="1:6" ht="16" x14ac:dyDescent="0.2">
      <c r="A8" s="231" t="s">
        <v>1103</v>
      </c>
      <c r="B8" s="228" t="s">
        <v>1102</v>
      </c>
      <c r="C8" s="229" t="s">
        <v>1088</v>
      </c>
      <c r="D8" s="229" t="s">
        <v>440</v>
      </c>
      <c r="E8" s="229" t="s">
        <v>8</v>
      </c>
      <c r="F8" s="230"/>
    </row>
    <row r="9" spans="1:6" ht="16" x14ac:dyDescent="0.2">
      <c r="A9" s="231" t="s">
        <v>1104</v>
      </c>
      <c r="B9" s="228" t="s">
        <v>1090</v>
      </c>
      <c r="C9" s="229" t="s">
        <v>1089</v>
      </c>
      <c r="D9" s="229" t="s">
        <v>440</v>
      </c>
      <c r="E9" s="229" t="s">
        <v>9</v>
      </c>
      <c r="F9" s="230" t="s">
        <v>192</v>
      </c>
    </row>
    <row r="10" spans="1:6" ht="16" x14ac:dyDescent="0.2">
      <c r="A10" s="231" t="s">
        <v>1105</v>
      </c>
      <c r="B10" s="228" t="s">
        <v>1092</v>
      </c>
      <c r="C10" s="229" t="s">
        <v>1091</v>
      </c>
      <c r="D10" s="229" t="s">
        <v>440</v>
      </c>
      <c r="E10" s="229" t="s">
        <v>9</v>
      </c>
      <c r="F10" s="230"/>
    </row>
    <row r="11" spans="1:6" ht="16" x14ac:dyDescent="0.2">
      <c r="A11" s="231" t="s">
        <v>1106</v>
      </c>
      <c r="B11" s="228" t="s">
        <v>1094</v>
      </c>
      <c r="C11" s="229" t="s">
        <v>1093</v>
      </c>
      <c r="D11" s="229" t="s">
        <v>610</v>
      </c>
      <c r="E11" s="229" t="s">
        <v>6</v>
      </c>
      <c r="F11" s="230"/>
    </row>
    <row r="12" spans="1:6" ht="16" x14ac:dyDescent="0.2">
      <c r="A12" s="231" t="s">
        <v>1107</v>
      </c>
      <c r="B12" s="228" t="s">
        <v>1096</v>
      </c>
      <c r="C12" s="229" t="s">
        <v>1095</v>
      </c>
      <c r="D12" s="229" t="s">
        <v>610</v>
      </c>
      <c r="E12" s="229" t="s">
        <v>6</v>
      </c>
      <c r="F12" s="230"/>
    </row>
    <row r="13" spans="1:6" ht="16" x14ac:dyDescent="0.2">
      <c r="A13" s="231" t="s">
        <v>1108</v>
      </c>
      <c r="B13" s="228" t="s">
        <v>1098</v>
      </c>
      <c r="C13" s="229" t="s">
        <v>1097</v>
      </c>
      <c r="D13" s="229" t="s">
        <v>610</v>
      </c>
      <c r="E13" s="229" t="s">
        <v>7</v>
      </c>
      <c r="F13" s="230"/>
    </row>
    <row r="14" spans="1:6" ht="16" x14ac:dyDescent="0.2">
      <c r="A14" s="231" t="s">
        <v>1109</v>
      </c>
      <c r="B14" s="228" t="s">
        <v>1100</v>
      </c>
      <c r="C14" s="229" t="s">
        <v>1099</v>
      </c>
      <c r="D14" s="229" t="s">
        <v>610</v>
      </c>
      <c r="E14" s="229" t="s">
        <v>7</v>
      </c>
      <c r="F14" s="230"/>
    </row>
    <row r="15" spans="1:6" ht="16" x14ac:dyDescent="0.2">
      <c r="A15" s="231" t="s">
        <v>1152</v>
      </c>
      <c r="B15" s="229" t="s">
        <v>1153</v>
      </c>
      <c r="C15" s="229" t="s">
        <v>1154</v>
      </c>
      <c r="D15" s="229" t="s">
        <v>610</v>
      </c>
      <c r="E15" s="229" t="s">
        <v>7</v>
      </c>
      <c r="F15" s="230"/>
    </row>
    <row r="16" spans="1:6" x14ac:dyDescent="0.2">
      <c r="A16" s="231"/>
      <c r="B16" s="229"/>
      <c r="C16" s="229"/>
      <c r="D16" s="229"/>
      <c r="E16" s="229"/>
      <c r="F16" s="230"/>
    </row>
    <row r="27" spans="10:10" x14ac:dyDescent="0.2">
      <c r="J27" s="122"/>
    </row>
  </sheetData>
  <mergeCells count="2">
    <mergeCell ref="A1:F1"/>
    <mergeCell ref="A2:F2"/>
  </mergeCells>
  <dataValidations count="3">
    <dataValidation type="list" allowBlank="1" showInputMessage="1" showErrorMessage="1" sqref="F4:F16" xr:uid="{11DD821B-D273-9E42-A166-C59EB77E75A8}">
      <formula1>"Yes, No"</formula1>
    </dataValidation>
    <dataValidation type="list" allowBlank="1" showInputMessage="1" showErrorMessage="1" sqref="D4:D16" xr:uid="{047BFB89-458F-C143-8F72-190ABA3D7ED7}">
      <formula1>MTLDD</formula1>
    </dataValidation>
    <dataValidation type="list" allowBlank="1" showInputMessage="1" showErrorMessage="1" sqref="E4:E16" xr:uid="{C79C9E7C-8610-7040-9368-44E4BCD3BE7B}">
      <formula1>INDIRECT(D4)</formula1>
    </dataValidation>
  </dataValidations>
  <pageMargins left="0.7" right="0.7" top="0.75" bottom="0.75" header="0.3" footer="0.3"/>
  <pageSetup orientation="portrait" horizontalDpi="0" verticalDpi="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80BA4-0E61-2C4F-A05A-683E106E4997}">
  <sheetPr>
    <tabColor theme="9" tint="-0.499984740745262"/>
  </sheetPr>
  <dimension ref="A1:F22"/>
  <sheetViews>
    <sheetView workbookViewId="0">
      <selection activeCell="D6" sqref="D6"/>
    </sheetView>
  </sheetViews>
  <sheetFormatPr baseColWidth="10" defaultRowHeight="15" x14ac:dyDescent="0.2"/>
  <cols>
    <col min="1" max="1" width="33.5" style="119" customWidth="1"/>
    <col min="2" max="2" width="132.1640625" style="119" customWidth="1"/>
    <col min="3" max="3" width="42.1640625" style="119" customWidth="1"/>
    <col min="4" max="4" width="10.6640625" style="121" bestFit="1" customWidth="1"/>
    <col min="5" max="6" width="15.6640625" style="119" customWidth="1"/>
    <col min="7" max="16384" width="10.83203125" style="119"/>
  </cols>
  <sheetData>
    <row r="1" spans="1:6" ht="17" x14ac:dyDescent="0.25">
      <c r="A1" s="448" t="s">
        <v>2227</v>
      </c>
      <c r="B1" s="448"/>
      <c r="C1" s="448"/>
      <c r="D1" s="448"/>
      <c r="E1" s="448"/>
      <c r="F1" s="448"/>
    </row>
    <row r="2" spans="1:6" ht="17" x14ac:dyDescent="0.25">
      <c r="A2" s="448" t="s">
        <v>2228</v>
      </c>
      <c r="B2" s="448"/>
      <c r="C2" s="448"/>
      <c r="D2" s="448"/>
      <c r="E2" s="448"/>
      <c r="F2" s="448"/>
    </row>
    <row r="3" spans="1:6" s="121" customFormat="1" ht="16" x14ac:dyDescent="0.2">
      <c r="A3" s="368" t="s">
        <v>171</v>
      </c>
      <c r="B3" s="369" t="s">
        <v>172</v>
      </c>
      <c r="C3" s="369" t="s">
        <v>173</v>
      </c>
      <c r="D3" s="18" t="s">
        <v>176</v>
      </c>
      <c r="E3" s="18" t="s">
        <v>177</v>
      </c>
      <c r="F3" s="18" t="s">
        <v>178</v>
      </c>
    </row>
    <row r="4" spans="1:6" ht="30" x14ac:dyDescent="0.2">
      <c r="A4" s="370" t="s">
        <v>1111</v>
      </c>
      <c r="B4" s="370" t="s">
        <v>1116</v>
      </c>
      <c r="C4" s="370" t="s">
        <v>1123</v>
      </c>
      <c r="D4" s="370" t="s">
        <v>473</v>
      </c>
      <c r="E4" s="371">
        <v>46082</v>
      </c>
      <c r="F4" s="372"/>
    </row>
    <row r="5" spans="1:6" ht="30" x14ac:dyDescent="0.2">
      <c r="A5" s="370" t="s">
        <v>1112</v>
      </c>
      <c r="B5" s="370" t="s">
        <v>1117</v>
      </c>
      <c r="C5" s="370" t="s">
        <v>1121</v>
      </c>
      <c r="D5" s="370" t="s">
        <v>473</v>
      </c>
      <c r="E5" s="371">
        <v>46082</v>
      </c>
      <c r="F5" s="372"/>
    </row>
    <row r="6" spans="1:6" ht="30" x14ac:dyDescent="0.2">
      <c r="A6" s="370" t="s">
        <v>1110</v>
      </c>
      <c r="B6" s="370" t="s">
        <v>1155</v>
      </c>
      <c r="C6" s="370" t="s">
        <v>1122</v>
      </c>
      <c r="D6" s="373" t="s">
        <v>175</v>
      </c>
      <c r="E6" s="371">
        <v>46082</v>
      </c>
      <c r="F6" s="374"/>
    </row>
    <row r="7" spans="1:6" ht="30" x14ac:dyDescent="0.2">
      <c r="A7" s="370" t="s">
        <v>1113</v>
      </c>
      <c r="B7" s="370" t="s">
        <v>1118</v>
      </c>
      <c r="C7" s="370"/>
      <c r="D7" s="373" t="s">
        <v>175</v>
      </c>
      <c r="E7" s="371">
        <v>46082</v>
      </c>
      <c r="F7" s="372"/>
    </row>
    <row r="8" spans="1:6" ht="30" x14ac:dyDescent="0.2">
      <c r="A8" s="370" t="s">
        <v>1114</v>
      </c>
      <c r="B8" s="370" t="s">
        <v>1119</v>
      </c>
      <c r="C8" s="370"/>
      <c r="D8" s="373" t="s">
        <v>175</v>
      </c>
      <c r="E8" s="371">
        <v>46082</v>
      </c>
      <c r="F8" s="372"/>
    </row>
    <row r="9" spans="1:6" ht="30" x14ac:dyDescent="0.2">
      <c r="A9" s="370" t="s">
        <v>1115</v>
      </c>
      <c r="B9" s="370" t="s">
        <v>1120</v>
      </c>
      <c r="C9" s="370"/>
      <c r="D9" s="373" t="s">
        <v>474</v>
      </c>
      <c r="E9" s="371">
        <v>46082</v>
      </c>
      <c r="F9" s="372"/>
    </row>
    <row r="10" spans="1:6" ht="30" x14ac:dyDescent="0.2">
      <c r="A10" s="375" t="s">
        <v>1187</v>
      </c>
      <c r="B10" s="375" t="s">
        <v>1188</v>
      </c>
      <c r="C10" s="375" t="s">
        <v>1213</v>
      </c>
      <c r="D10" s="373" t="s">
        <v>473</v>
      </c>
      <c r="E10" s="371">
        <v>46059</v>
      </c>
      <c r="F10" s="372"/>
    </row>
    <row r="11" spans="1:6" ht="30" x14ac:dyDescent="0.2">
      <c r="A11" s="375" t="s">
        <v>1189</v>
      </c>
      <c r="B11" s="375" t="s">
        <v>1190</v>
      </c>
      <c r="C11" s="375" t="s">
        <v>1213</v>
      </c>
      <c r="D11" s="373" t="s">
        <v>473</v>
      </c>
      <c r="E11" s="371">
        <v>46059</v>
      </c>
      <c r="F11" s="372"/>
    </row>
    <row r="12" spans="1:6" ht="30" x14ac:dyDescent="0.2">
      <c r="A12" s="375" t="s">
        <v>1191</v>
      </c>
      <c r="B12" s="375" t="s">
        <v>1192</v>
      </c>
      <c r="C12" s="375" t="s">
        <v>1213</v>
      </c>
      <c r="D12" s="373" t="s">
        <v>473</v>
      </c>
      <c r="E12" s="371">
        <v>46059</v>
      </c>
      <c r="F12" s="372"/>
    </row>
    <row r="13" spans="1:6" ht="30" x14ac:dyDescent="0.2">
      <c r="A13" s="375" t="s">
        <v>1193</v>
      </c>
      <c r="B13" s="375" t="s">
        <v>1194</v>
      </c>
      <c r="C13" s="375" t="s">
        <v>1213</v>
      </c>
      <c r="D13" s="373" t="s">
        <v>473</v>
      </c>
      <c r="E13" s="371">
        <v>46059</v>
      </c>
      <c r="F13" s="372"/>
    </row>
    <row r="14" spans="1:6" ht="30" x14ac:dyDescent="0.2">
      <c r="A14" s="375" t="s">
        <v>1195</v>
      </c>
      <c r="B14" s="375" t="s">
        <v>1196</v>
      </c>
      <c r="C14" s="375" t="s">
        <v>1214</v>
      </c>
      <c r="D14" s="373" t="s">
        <v>175</v>
      </c>
      <c r="E14" s="371">
        <v>46059</v>
      </c>
      <c r="F14" s="372"/>
    </row>
    <row r="15" spans="1:6" ht="30" x14ac:dyDescent="0.2">
      <c r="A15" s="375" t="s">
        <v>1197</v>
      </c>
      <c r="B15" s="375" t="s">
        <v>1198</v>
      </c>
      <c r="C15" s="375" t="s">
        <v>1214</v>
      </c>
      <c r="D15" s="373" t="s">
        <v>175</v>
      </c>
      <c r="E15" s="371">
        <v>46059</v>
      </c>
      <c r="F15" s="372"/>
    </row>
    <row r="16" spans="1:6" ht="30" x14ac:dyDescent="0.2">
      <c r="A16" s="375" t="s">
        <v>1199</v>
      </c>
      <c r="B16" s="375" t="s">
        <v>1200</v>
      </c>
      <c r="C16" s="375" t="s">
        <v>1214</v>
      </c>
      <c r="D16" s="373" t="s">
        <v>175</v>
      </c>
      <c r="E16" s="371">
        <v>46059</v>
      </c>
      <c r="F16" s="372"/>
    </row>
    <row r="17" spans="1:6" ht="30" x14ac:dyDescent="0.2">
      <c r="A17" s="375" t="s">
        <v>1201</v>
      </c>
      <c r="B17" s="375" t="s">
        <v>1202</v>
      </c>
      <c r="C17" s="375" t="s">
        <v>1214</v>
      </c>
      <c r="D17" s="373" t="s">
        <v>175</v>
      </c>
      <c r="E17" s="371">
        <v>46059</v>
      </c>
      <c r="F17" s="372"/>
    </row>
    <row r="18" spans="1:6" ht="30" x14ac:dyDescent="0.2">
      <c r="A18" s="375" t="s">
        <v>1203</v>
      </c>
      <c r="B18" s="376" t="s">
        <v>1204</v>
      </c>
      <c r="C18" s="376" t="s">
        <v>1215</v>
      </c>
      <c r="D18" s="373" t="s">
        <v>175</v>
      </c>
      <c r="E18" s="371">
        <v>46059</v>
      </c>
      <c r="F18" s="372"/>
    </row>
    <row r="19" spans="1:6" ht="30" x14ac:dyDescent="0.2">
      <c r="A19" s="375" t="s">
        <v>1205</v>
      </c>
      <c r="B19" s="376" t="s">
        <v>1206</v>
      </c>
      <c r="C19" s="376" t="s">
        <v>1216</v>
      </c>
      <c r="D19" s="373" t="s">
        <v>474</v>
      </c>
      <c r="E19" s="371">
        <v>46059</v>
      </c>
      <c r="F19" s="372"/>
    </row>
    <row r="20" spans="1:6" ht="30" x14ac:dyDescent="0.2">
      <c r="A20" s="375" t="s">
        <v>1207</v>
      </c>
      <c r="B20" s="376" t="s">
        <v>1208</v>
      </c>
      <c r="C20" s="376" t="s">
        <v>1217</v>
      </c>
      <c r="D20" s="373" t="s">
        <v>474</v>
      </c>
      <c r="E20" s="371">
        <v>46059</v>
      </c>
      <c r="F20" s="372"/>
    </row>
    <row r="21" spans="1:6" ht="30" x14ac:dyDescent="0.2">
      <c r="A21" s="375" t="s">
        <v>1209</v>
      </c>
      <c r="B21" s="376" t="s">
        <v>1210</v>
      </c>
      <c r="C21" s="376" t="s">
        <v>1218</v>
      </c>
      <c r="D21" s="373" t="s">
        <v>474</v>
      </c>
      <c r="E21" s="371">
        <v>46059</v>
      </c>
      <c r="F21" s="372"/>
    </row>
    <row r="22" spans="1:6" ht="30" x14ac:dyDescent="0.2">
      <c r="A22" s="375" t="s">
        <v>1211</v>
      </c>
      <c r="B22" s="376" t="s">
        <v>1212</v>
      </c>
      <c r="C22" s="376" t="s">
        <v>1219</v>
      </c>
      <c r="D22" s="373" t="s">
        <v>474</v>
      </c>
      <c r="E22" s="371">
        <v>46059</v>
      </c>
      <c r="F22" s="372"/>
    </row>
  </sheetData>
  <mergeCells count="2">
    <mergeCell ref="A2:F2"/>
    <mergeCell ref="A1:F1"/>
  </mergeCells>
  <phoneticPr fontId="1" type="noConversion"/>
  <pageMargins left="0.7" right="0.7" top="0.75" bottom="0.75" header="0.3" footer="0.3"/>
  <pageSetup orientation="portrait" horizontalDpi="0" verticalDpi="0"/>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C98B8679-CCBB-4945-9BAE-6FA3E78A2C21}">
          <x14:formula1>
            <xm:f>Lists!$F$3:$F$5</xm:f>
          </x14:formula1>
          <xm:sqref>D4:D22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05D8A-0818-A046-9AC3-3659DB883F3F}">
  <sheetPr>
    <tabColor theme="9" tint="-0.499984740745262"/>
  </sheetPr>
  <dimension ref="A1:Q66"/>
  <sheetViews>
    <sheetView workbookViewId="0">
      <selection sqref="A1:J1"/>
    </sheetView>
  </sheetViews>
  <sheetFormatPr baseColWidth="10" defaultRowHeight="14" x14ac:dyDescent="0.15"/>
  <cols>
    <col min="1" max="1" width="36" style="6" bestFit="1" customWidth="1"/>
    <col min="2" max="2" width="84.6640625" style="6" customWidth="1"/>
    <col min="3" max="3" width="77.1640625" style="6" customWidth="1"/>
    <col min="4" max="4" width="36.5" style="6" customWidth="1"/>
    <col min="5" max="5" width="15.33203125" style="17" customWidth="1"/>
    <col min="6" max="6" width="15.6640625" style="6" bestFit="1" customWidth="1"/>
    <col min="7" max="9" width="19.1640625" style="6" customWidth="1"/>
    <col min="10" max="10" width="11.5" style="6" customWidth="1"/>
    <col min="11" max="11" width="15" style="6" customWidth="1"/>
    <col min="12" max="14" width="31.1640625" style="6" customWidth="1"/>
    <col min="15" max="16384" width="10.83203125" style="6"/>
  </cols>
  <sheetData>
    <row r="1" spans="1:17" ht="16" x14ac:dyDescent="0.2">
      <c r="A1" s="447" t="s">
        <v>2229</v>
      </c>
      <c r="B1" s="447"/>
      <c r="C1" s="447"/>
      <c r="D1" s="447"/>
      <c r="E1" s="447"/>
      <c r="F1" s="447"/>
      <c r="G1" s="447"/>
      <c r="H1" s="447"/>
      <c r="I1" s="447"/>
      <c r="J1" s="447"/>
    </row>
    <row r="2" spans="1:17" ht="16" x14ac:dyDescent="0.2">
      <c r="A2" s="447" t="s">
        <v>2230</v>
      </c>
      <c r="B2" s="447"/>
      <c r="C2" s="447"/>
      <c r="D2" s="447"/>
      <c r="E2" s="447"/>
      <c r="F2" s="447"/>
      <c r="G2" s="447"/>
      <c r="H2" s="447"/>
      <c r="I2" s="447"/>
      <c r="J2" s="447"/>
    </row>
    <row r="3" spans="1:17" s="26" customFormat="1" ht="16" x14ac:dyDescent="0.2">
      <c r="A3" s="18" t="s">
        <v>171</v>
      </c>
      <c r="B3" s="18" t="s">
        <v>191</v>
      </c>
      <c r="C3" s="18" t="s">
        <v>190</v>
      </c>
      <c r="D3" s="116" t="s">
        <v>173</v>
      </c>
      <c r="E3" s="18" t="s">
        <v>188</v>
      </c>
      <c r="F3" s="18" t="s">
        <v>181</v>
      </c>
      <c r="G3" s="18" t="s">
        <v>177</v>
      </c>
      <c r="H3" s="18" t="s">
        <v>178</v>
      </c>
      <c r="I3" s="27" t="s">
        <v>179</v>
      </c>
      <c r="J3" s="27" t="s">
        <v>180</v>
      </c>
    </row>
    <row r="4" spans="1:17" ht="32" x14ac:dyDescent="0.15">
      <c r="A4" s="348" t="s">
        <v>1134</v>
      </c>
      <c r="B4" s="110" t="s">
        <v>1124</v>
      </c>
      <c r="C4" s="110"/>
      <c r="D4" s="110" t="s">
        <v>108</v>
      </c>
      <c r="E4" s="123" t="s">
        <v>185</v>
      </c>
      <c r="F4" s="110" t="s">
        <v>192</v>
      </c>
      <c r="G4" s="350">
        <v>46034</v>
      </c>
      <c r="H4" s="352"/>
      <c r="I4" s="352"/>
      <c r="J4" s="123" t="s">
        <v>253</v>
      </c>
      <c r="Q4" s="233"/>
    </row>
    <row r="5" spans="1:17" ht="32" x14ac:dyDescent="0.15">
      <c r="A5" s="348" t="s">
        <v>1135</v>
      </c>
      <c r="B5" s="110" t="s">
        <v>1125</v>
      </c>
      <c r="C5" s="110"/>
      <c r="D5" s="110" t="s">
        <v>108</v>
      </c>
      <c r="E5" s="123" t="s">
        <v>185</v>
      </c>
      <c r="F5" s="110" t="s">
        <v>213</v>
      </c>
      <c r="G5" s="350">
        <v>46034</v>
      </c>
      <c r="H5" s="352"/>
      <c r="I5" s="352"/>
      <c r="J5" s="123" t="s">
        <v>189</v>
      </c>
      <c r="Q5" s="233"/>
    </row>
    <row r="6" spans="1:17" ht="32" x14ac:dyDescent="0.15">
      <c r="A6" s="348" t="s">
        <v>1136</v>
      </c>
      <c r="B6" s="110" t="s">
        <v>1126</v>
      </c>
      <c r="C6" s="110"/>
      <c r="D6" s="110" t="s">
        <v>108</v>
      </c>
      <c r="E6" s="123" t="s">
        <v>185</v>
      </c>
      <c r="F6" s="110" t="s">
        <v>213</v>
      </c>
      <c r="G6" s="350">
        <v>46034</v>
      </c>
      <c r="H6" s="352"/>
      <c r="I6" s="352"/>
      <c r="J6" s="123" t="s">
        <v>189</v>
      </c>
      <c r="Q6" s="233"/>
    </row>
    <row r="7" spans="1:17" ht="32" x14ac:dyDescent="0.15">
      <c r="A7" s="348" t="s">
        <v>1137</v>
      </c>
      <c r="B7" s="110" t="s">
        <v>1127</v>
      </c>
      <c r="C7" s="110"/>
      <c r="D7" s="110" t="s">
        <v>108</v>
      </c>
      <c r="E7" s="123" t="s">
        <v>186</v>
      </c>
      <c r="F7" s="110" t="s">
        <v>192</v>
      </c>
      <c r="G7" s="350">
        <v>46034</v>
      </c>
      <c r="H7" s="352"/>
      <c r="I7" s="352"/>
      <c r="J7" s="123" t="s">
        <v>189</v>
      </c>
      <c r="Q7" s="233"/>
    </row>
    <row r="8" spans="1:17" ht="32" x14ac:dyDescent="0.15">
      <c r="A8" s="348" t="s">
        <v>1138</v>
      </c>
      <c r="B8" s="110" t="s">
        <v>1128</v>
      </c>
      <c r="C8" s="110"/>
      <c r="D8" s="110" t="s">
        <v>108</v>
      </c>
      <c r="E8" s="123" t="s">
        <v>186</v>
      </c>
      <c r="F8" s="110" t="s">
        <v>213</v>
      </c>
      <c r="G8" s="350">
        <v>46034</v>
      </c>
      <c r="H8" s="352"/>
      <c r="I8" s="352"/>
      <c r="J8" s="123" t="s">
        <v>38</v>
      </c>
      <c r="Q8" s="233"/>
    </row>
    <row r="9" spans="1:17" ht="32" x14ac:dyDescent="0.15">
      <c r="A9" s="348" t="s">
        <v>1139</v>
      </c>
      <c r="B9" s="110" t="s">
        <v>1129</v>
      </c>
      <c r="C9" s="110"/>
      <c r="D9" s="110" t="s">
        <v>108</v>
      </c>
      <c r="E9" s="110" t="s">
        <v>186</v>
      </c>
      <c r="F9" s="110" t="s">
        <v>213</v>
      </c>
      <c r="G9" s="350">
        <v>46034</v>
      </c>
      <c r="H9" s="352"/>
      <c r="I9" s="352"/>
      <c r="J9" s="123" t="s">
        <v>189</v>
      </c>
      <c r="Q9" s="233"/>
    </row>
    <row r="10" spans="1:17" ht="32" x14ac:dyDescent="0.15">
      <c r="A10" s="348" t="s">
        <v>1140</v>
      </c>
      <c r="B10" s="123" t="s">
        <v>1130</v>
      </c>
      <c r="C10" s="110"/>
      <c r="D10" s="110" t="s">
        <v>108</v>
      </c>
      <c r="E10" s="110" t="s">
        <v>187</v>
      </c>
      <c r="F10" s="110" t="s">
        <v>213</v>
      </c>
      <c r="G10" s="350">
        <v>46034</v>
      </c>
      <c r="H10" s="352"/>
      <c r="I10" s="352"/>
      <c r="J10" s="123"/>
      <c r="Q10" s="233"/>
    </row>
    <row r="11" spans="1:17" ht="32" x14ac:dyDescent="0.15">
      <c r="A11" s="348" t="s">
        <v>1141</v>
      </c>
      <c r="B11" s="123" t="s">
        <v>1131</v>
      </c>
      <c r="C11" s="110"/>
      <c r="D11" s="110" t="s">
        <v>108</v>
      </c>
      <c r="E11" s="110" t="s">
        <v>187</v>
      </c>
      <c r="F11" s="110" t="s">
        <v>213</v>
      </c>
      <c r="G11" s="350">
        <v>46034</v>
      </c>
      <c r="H11" s="351"/>
      <c r="I11" s="123"/>
      <c r="J11" s="123"/>
      <c r="Q11" s="233"/>
    </row>
    <row r="12" spans="1:17" ht="32" x14ac:dyDescent="0.15">
      <c r="A12" s="348" t="s">
        <v>1133</v>
      </c>
      <c r="B12" s="123" t="s">
        <v>1132</v>
      </c>
      <c r="C12" s="110"/>
      <c r="D12" s="110" t="s">
        <v>108</v>
      </c>
      <c r="E12" s="110" t="s">
        <v>187</v>
      </c>
      <c r="F12" s="110" t="s">
        <v>213</v>
      </c>
      <c r="G12" s="350">
        <v>46034</v>
      </c>
      <c r="H12" s="351"/>
      <c r="I12" s="123"/>
      <c r="J12" s="123"/>
    </row>
    <row r="13" spans="1:17" ht="32" x14ac:dyDescent="0.15">
      <c r="A13" s="348" t="s">
        <v>1171</v>
      </c>
      <c r="B13" s="123" t="s">
        <v>1172</v>
      </c>
      <c r="C13" s="110"/>
      <c r="D13" s="110" t="s">
        <v>433</v>
      </c>
      <c r="E13" s="110" t="s">
        <v>186</v>
      </c>
      <c r="F13" s="110" t="s">
        <v>192</v>
      </c>
      <c r="G13" s="350">
        <v>46059</v>
      </c>
      <c r="H13" s="351"/>
      <c r="I13" s="123"/>
      <c r="J13" s="123"/>
    </row>
    <row r="14" spans="1:17" ht="32" x14ac:dyDescent="0.15">
      <c r="A14" s="348" t="s">
        <v>1173</v>
      </c>
      <c r="B14" s="123" t="s">
        <v>1174</v>
      </c>
      <c r="C14" s="110"/>
      <c r="D14" s="110" t="s">
        <v>433</v>
      </c>
      <c r="E14" s="110" t="s">
        <v>186</v>
      </c>
      <c r="F14" s="110" t="s">
        <v>192</v>
      </c>
      <c r="G14" s="350">
        <v>46059</v>
      </c>
      <c r="H14" s="351"/>
      <c r="I14" s="123"/>
      <c r="J14" s="123"/>
    </row>
    <row r="15" spans="1:17" ht="32" x14ac:dyDescent="0.15">
      <c r="A15" s="348" t="s">
        <v>1175</v>
      </c>
      <c r="B15" s="123" t="s">
        <v>1176</v>
      </c>
      <c r="C15" s="110"/>
      <c r="D15" s="110" t="s">
        <v>433</v>
      </c>
      <c r="E15" s="110" t="s">
        <v>186</v>
      </c>
      <c r="F15" s="110" t="s">
        <v>213</v>
      </c>
      <c r="G15" s="350">
        <v>46059</v>
      </c>
      <c r="H15" s="351"/>
      <c r="I15" s="123"/>
      <c r="J15" s="123"/>
    </row>
    <row r="16" spans="1:17" ht="32" x14ac:dyDescent="0.15">
      <c r="A16" s="348" t="s">
        <v>1177</v>
      </c>
      <c r="B16" s="123" t="s">
        <v>1178</v>
      </c>
      <c r="C16" s="110"/>
      <c r="D16" s="110" t="s">
        <v>433</v>
      </c>
      <c r="E16" s="110" t="s">
        <v>186</v>
      </c>
      <c r="F16" s="110" t="s">
        <v>192</v>
      </c>
      <c r="G16" s="350">
        <v>46059</v>
      </c>
      <c r="H16" s="351"/>
      <c r="I16" s="123"/>
      <c r="J16" s="123"/>
    </row>
    <row r="17" spans="1:10" ht="32" x14ac:dyDescent="0.15">
      <c r="A17" s="348" t="s">
        <v>1179</v>
      </c>
      <c r="B17" s="123" t="s">
        <v>1180</v>
      </c>
      <c r="C17" s="110"/>
      <c r="D17" s="110" t="s">
        <v>433</v>
      </c>
      <c r="E17" s="110" t="s">
        <v>186</v>
      </c>
      <c r="F17" s="110" t="s">
        <v>213</v>
      </c>
      <c r="G17" s="350">
        <v>46059</v>
      </c>
      <c r="H17" s="351"/>
      <c r="I17" s="123"/>
      <c r="J17" s="123"/>
    </row>
    <row r="18" spans="1:10" ht="32" x14ac:dyDescent="0.15">
      <c r="A18" s="348" t="s">
        <v>1181</v>
      </c>
      <c r="B18" s="123" t="s">
        <v>1182</v>
      </c>
      <c r="C18" s="110"/>
      <c r="D18" s="110" t="s">
        <v>433</v>
      </c>
      <c r="E18" s="110" t="s">
        <v>185</v>
      </c>
      <c r="F18" s="110" t="s">
        <v>192</v>
      </c>
      <c r="G18" s="350">
        <v>46059</v>
      </c>
      <c r="H18" s="351"/>
      <c r="I18" s="123"/>
      <c r="J18" s="123"/>
    </row>
    <row r="19" spans="1:10" ht="32" x14ac:dyDescent="0.15">
      <c r="A19" s="348" t="s">
        <v>1183</v>
      </c>
      <c r="B19" s="123" t="s">
        <v>1184</v>
      </c>
      <c r="C19" s="110"/>
      <c r="D19" s="110" t="s">
        <v>433</v>
      </c>
      <c r="E19" s="110" t="s">
        <v>185</v>
      </c>
      <c r="F19" s="110" t="s">
        <v>192</v>
      </c>
      <c r="G19" s="350">
        <v>46059</v>
      </c>
      <c r="H19" s="351"/>
      <c r="I19" s="123"/>
      <c r="J19" s="123"/>
    </row>
    <row r="20" spans="1:10" ht="32" x14ac:dyDescent="0.15">
      <c r="A20" s="348" t="s">
        <v>1185</v>
      </c>
      <c r="B20" s="123" t="s">
        <v>1186</v>
      </c>
      <c r="C20" s="110"/>
      <c r="D20" s="110" t="s">
        <v>433</v>
      </c>
      <c r="E20" s="110" t="s">
        <v>185</v>
      </c>
      <c r="F20" s="110" t="s">
        <v>213</v>
      </c>
      <c r="G20" s="350">
        <v>46059</v>
      </c>
      <c r="H20" s="351"/>
      <c r="I20" s="123"/>
      <c r="J20" s="123"/>
    </row>
    <row r="21" spans="1:10" ht="32" x14ac:dyDescent="0.15">
      <c r="A21" s="110" t="s">
        <v>1110</v>
      </c>
      <c r="B21" s="110" t="s">
        <v>1155</v>
      </c>
      <c r="C21" s="110"/>
      <c r="D21" s="110" t="s">
        <v>1122</v>
      </c>
      <c r="E21" s="110" t="s">
        <v>175</v>
      </c>
      <c r="F21" s="110"/>
      <c r="G21" s="350">
        <v>46082</v>
      </c>
      <c r="H21" s="351"/>
      <c r="I21" s="123"/>
      <c r="J21" s="123"/>
    </row>
    <row r="22" spans="1:10" ht="48" x14ac:dyDescent="0.15">
      <c r="A22" s="110" t="s">
        <v>1113</v>
      </c>
      <c r="B22" s="110" t="s">
        <v>1118</v>
      </c>
      <c r="C22" s="110"/>
      <c r="D22" s="110"/>
      <c r="E22" s="110" t="s">
        <v>175</v>
      </c>
      <c r="F22" s="110"/>
      <c r="G22" s="350">
        <v>46082</v>
      </c>
      <c r="H22" s="351"/>
      <c r="I22" s="123"/>
      <c r="J22" s="123"/>
    </row>
    <row r="23" spans="1:10" ht="48" x14ac:dyDescent="0.15">
      <c r="A23" s="110" t="s">
        <v>1114</v>
      </c>
      <c r="B23" s="110" t="s">
        <v>1119</v>
      </c>
      <c r="C23" s="110"/>
      <c r="D23" s="110"/>
      <c r="E23" s="110" t="s">
        <v>175</v>
      </c>
      <c r="F23" s="110"/>
      <c r="G23" s="350">
        <v>46082</v>
      </c>
      <c r="H23" s="351"/>
      <c r="I23" s="123"/>
      <c r="J23" s="123"/>
    </row>
    <row r="24" spans="1:10" ht="32" x14ac:dyDescent="0.15">
      <c r="A24" s="110" t="s">
        <v>1195</v>
      </c>
      <c r="B24" s="110" t="s">
        <v>1196</v>
      </c>
      <c r="C24" s="110"/>
      <c r="D24" s="110" t="s">
        <v>1214</v>
      </c>
      <c r="E24" s="110" t="s">
        <v>175</v>
      </c>
      <c r="F24" s="110"/>
      <c r="G24" s="350">
        <v>46059</v>
      </c>
      <c r="H24" s="351"/>
      <c r="I24" s="123"/>
      <c r="J24" s="123"/>
    </row>
    <row r="25" spans="1:10" ht="32" x14ac:dyDescent="0.15">
      <c r="A25" s="110" t="s">
        <v>1197</v>
      </c>
      <c r="B25" s="110" t="s">
        <v>1198</v>
      </c>
      <c r="C25" s="110"/>
      <c r="D25" s="110" t="s">
        <v>1214</v>
      </c>
      <c r="E25" s="110" t="s">
        <v>175</v>
      </c>
      <c r="F25" s="110"/>
      <c r="G25" s="350">
        <v>46059</v>
      </c>
      <c r="H25" s="351"/>
      <c r="I25" s="123"/>
      <c r="J25" s="123"/>
    </row>
    <row r="26" spans="1:10" ht="32" x14ac:dyDescent="0.15">
      <c r="A26" s="110" t="s">
        <v>1199</v>
      </c>
      <c r="B26" s="110" t="s">
        <v>1200</v>
      </c>
      <c r="C26" s="110"/>
      <c r="D26" s="110" t="s">
        <v>1214</v>
      </c>
      <c r="E26" s="110" t="s">
        <v>175</v>
      </c>
      <c r="F26" s="110"/>
      <c r="G26" s="350">
        <v>46059</v>
      </c>
      <c r="H26" s="351"/>
      <c r="I26" s="123"/>
      <c r="J26" s="123"/>
    </row>
    <row r="27" spans="1:10" ht="32" x14ac:dyDescent="0.15">
      <c r="A27" s="110" t="s">
        <v>1201</v>
      </c>
      <c r="B27" s="110" t="s">
        <v>1202</v>
      </c>
      <c r="C27" s="110"/>
      <c r="D27" s="110" t="s">
        <v>1214</v>
      </c>
      <c r="E27" s="110" t="s">
        <v>175</v>
      </c>
      <c r="F27" s="110"/>
      <c r="G27" s="350">
        <v>46059</v>
      </c>
      <c r="H27" s="351"/>
      <c r="I27" s="123"/>
      <c r="J27" s="123"/>
    </row>
    <row r="28" spans="1:10" ht="32" x14ac:dyDescent="0.15">
      <c r="A28" s="110" t="s">
        <v>1203</v>
      </c>
      <c r="B28" s="353" t="s">
        <v>1204</v>
      </c>
      <c r="C28" s="353"/>
      <c r="D28" s="353" t="s">
        <v>1215</v>
      </c>
      <c r="E28" s="110" t="s">
        <v>175</v>
      </c>
      <c r="F28" s="110"/>
      <c r="G28" s="350">
        <v>46059</v>
      </c>
      <c r="H28" s="351"/>
      <c r="I28" s="123"/>
      <c r="J28" s="123"/>
    </row>
    <row r="29" spans="1:10" ht="48" x14ac:dyDescent="0.15">
      <c r="A29" s="110" t="s">
        <v>1010</v>
      </c>
      <c r="B29" s="353" t="s">
        <v>2086</v>
      </c>
      <c r="C29" s="353"/>
      <c r="D29" s="110" t="s">
        <v>2107</v>
      </c>
      <c r="E29" s="110" t="s">
        <v>621</v>
      </c>
      <c r="F29" s="351"/>
      <c r="G29" s="17"/>
      <c r="H29" s="351"/>
      <c r="I29" s="123"/>
      <c r="J29" s="123"/>
    </row>
    <row r="30" spans="1:10" ht="48" x14ac:dyDescent="0.15">
      <c r="A30" s="110" t="s">
        <v>1013</v>
      </c>
      <c r="B30" s="353" t="s">
        <v>2087</v>
      </c>
      <c r="C30" s="353"/>
      <c r="D30" s="110" t="s">
        <v>2107</v>
      </c>
      <c r="E30" s="110" t="s">
        <v>621</v>
      </c>
      <c r="F30" s="351"/>
      <c r="G30" s="350"/>
      <c r="H30" s="351"/>
      <c r="I30" s="123"/>
      <c r="J30" s="123"/>
    </row>
    <row r="31" spans="1:10" ht="48" x14ac:dyDescent="0.15">
      <c r="A31" s="110" t="s">
        <v>1016</v>
      </c>
      <c r="B31" s="353" t="s">
        <v>2088</v>
      </c>
      <c r="C31" s="353"/>
      <c r="D31" s="110" t="s">
        <v>2107</v>
      </c>
      <c r="E31" s="110" t="s">
        <v>621</v>
      </c>
      <c r="F31" s="351"/>
      <c r="G31" s="350"/>
      <c r="H31" s="351"/>
      <c r="I31" s="123"/>
      <c r="J31" s="123"/>
    </row>
    <row r="32" spans="1:10" ht="48" x14ac:dyDescent="0.15">
      <c r="A32" s="110" t="s">
        <v>1019</v>
      </c>
      <c r="B32" s="353" t="s">
        <v>2089</v>
      </c>
      <c r="C32" s="353"/>
      <c r="D32" s="110" t="s">
        <v>2107</v>
      </c>
      <c r="E32" s="110" t="s">
        <v>621</v>
      </c>
      <c r="F32" s="351"/>
      <c r="G32" s="350"/>
      <c r="H32" s="351"/>
      <c r="I32" s="123"/>
      <c r="J32" s="123"/>
    </row>
    <row r="33" spans="1:10" ht="48" x14ac:dyDescent="0.15">
      <c r="A33" s="110" t="s">
        <v>1022</v>
      </c>
      <c r="B33" s="353" t="s">
        <v>2090</v>
      </c>
      <c r="C33" s="353"/>
      <c r="D33" s="110" t="s">
        <v>2107</v>
      </c>
      <c r="E33" s="110" t="s">
        <v>621</v>
      </c>
      <c r="F33" s="351"/>
      <c r="G33" s="350"/>
      <c r="H33" s="351"/>
      <c r="I33" s="123"/>
      <c r="J33" s="123"/>
    </row>
    <row r="34" spans="1:10" ht="48" x14ac:dyDescent="0.15">
      <c r="A34" s="110" t="s">
        <v>1025</v>
      </c>
      <c r="B34" s="353" t="s">
        <v>2091</v>
      </c>
      <c r="C34" s="353"/>
      <c r="D34" s="110" t="s">
        <v>2108</v>
      </c>
      <c r="E34" s="110" t="s">
        <v>621</v>
      </c>
      <c r="F34" s="351"/>
      <c r="G34" s="350"/>
      <c r="H34" s="351"/>
      <c r="I34" s="123"/>
      <c r="J34" s="123"/>
    </row>
    <row r="35" spans="1:10" ht="48" x14ac:dyDescent="0.15">
      <c r="A35" s="110" t="s">
        <v>1028</v>
      </c>
      <c r="B35" s="353" t="s">
        <v>2092</v>
      </c>
      <c r="C35" s="353"/>
      <c r="D35" s="110" t="s">
        <v>2108</v>
      </c>
      <c r="E35" s="110" t="s">
        <v>621</v>
      </c>
      <c r="F35" s="351"/>
      <c r="G35" s="350"/>
      <c r="H35" s="351"/>
      <c r="I35" s="123"/>
      <c r="J35" s="123"/>
    </row>
    <row r="36" spans="1:10" ht="48" x14ac:dyDescent="0.15">
      <c r="A36" s="110" t="s">
        <v>1031</v>
      </c>
      <c r="B36" s="353" t="s">
        <v>2093</v>
      </c>
      <c r="C36" s="353"/>
      <c r="D36" s="110" t="s">
        <v>2108</v>
      </c>
      <c r="E36" s="110" t="s">
        <v>621</v>
      </c>
      <c r="F36" s="351"/>
      <c r="G36" s="350"/>
      <c r="H36" s="351"/>
      <c r="I36" s="123"/>
      <c r="J36" s="123"/>
    </row>
    <row r="37" spans="1:10" ht="48" x14ac:dyDescent="0.15">
      <c r="A37" s="110" t="s">
        <v>950</v>
      </c>
      <c r="B37" s="353" t="s">
        <v>2094</v>
      </c>
      <c r="C37" s="353"/>
      <c r="D37" s="110" t="s">
        <v>2108</v>
      </c>
      <c r="E37" s="110" t="s">
        <v>621</v>
      </c>
      <c r="F37" s="351"/>
      <c r="G37" s="350"/>
      <c r="H37" s="351"/>
      <c r="I37" s="123"/>
      <c r="J37" s="123"/>
    </row>
    <row r="38" spans="1:10" ht="48" x14ac:dyDescent="0.15">
      <c r="A38" s="110" t="s">
        <v>1036</v>
      </c>
      <c r="B38" s="110" t="s">
        <v>2095</v>
      </c>
      <c r="C38" s="353"/>
      <c r="D38" s="110" t="s">
        <v>2108</v>
      </c>
      <c r="E38" s="110" t="s">
        <v>621</v>
      </c>
      <c r="F38" s="351"/>
      <c r="G38" s="350"/>
      <c r="H38" s="351"/>
      <c r="I38" s="123"/>
      <c r="J38" s="123"/>
    </row>
    <row r="39" spans="1:10" ht="48" x14ac:dyDescent="0.15">
      <c r="A39" s="110" t="s">
        <v>967</v>
      </c>
      <c r="B39" s="110" t="s">
        <v>2096</v>
      </c>
      <c r="C39" s="353"/>
      <c r="D39" s="110" t="s">
        <v>2109</v>
      </c>
      <c r="E39" s="110" t="s">
        <v>621</v>
      </c>
      <c r="F39" s="351"/>
      <c r="G39" s="350"/>
      <c r="H39" s="351"/>
      <c r="I39" s="123"/>
      <c r="J39" s="123"/>
    </row>
    <row r="40" spans="1:10" ht="48" x14ac:dyDescent="0.15">
      <c r="A40" s="110" t="s">
        <v>1041</v>
      </c>
      <c r="B40" s="110" t="s">
        <v>2097</v>
      </c>
      <c r="C40" s="353"/>
      <c r="D40" s="110" t="s">
        <v>2109</v>
      </c>
      <c r="E40" s="110" t="s">
        <v>621</v>
      </c>
      <c r="F40" s="351"/>
      <c r="G40" s="350"/>
      <c r="H40" s="351"/>
      <c r="I40" s="123"/>
      <c r="J40" s="123"/>
    </row>
    <row r="41" spans="1:10" ht="48" x14ac:dyDescent="0.15">
      <c r="A41" s="110" t="s">
        <v>1044</v>
      </c>
      <c r="B41" s="110" t="s">
        <v>2098</v>
      </c>
      <c r="C41" s="353"/>
      <c r="D41" s="110" t="s">
        <v>2109</v>
      </c>
      <c r="E41" s="110" t="s">
        <v>621</v>
      </c>
      <c r="F41" s="351"/>
      <c r="G41" s="350"/>
      <c r="H41" s="351"/>
      <c r="I41" s="123"/>
      <c r="J41" s="123"/>
    </row>
    <row r="42" spans="1:10" ht="48" x14ac:dyDescent="0.15">
      <c r="A42" s="110" t="s">
        <v>1047</v>
      </c>
      <c r="B42" s="110" t="s">
        <v>2099</v>
      </c>
      <c r="C42" s="353"/>
      <c r="D42" s="110" t="s">
        <v>2109</v>
      </c>
      <c r="E42" s="110" t="s">
        <v>621</v>
      </c>
      <c r="F42" s="351"/>
      <c r="G42" s="350"/>
      <c r="H42" s="351"/>
      <c r="I42" s="123"/>
      <c r="J42" s="123"/>
    </row>
    <row r="43" spans="1:10" ht="48" x14ac:dyDescent="0.15">
      <c r="A43" s="110" t="s">
        <v>1050</v>
      </c>
      <c r="B43" s="110" t="s">
        <v>2100</v>
      </c>
      <c r="C43" s="353"/>
      <c r="D43" s="110" t="s">
        <v>2109</v>
      </c>
      <c r="E43" s="110" t="s">
        <v>621</v>
      </c>
      <c r="F43" s="351"/>
      <c r="G43" s="350"/>
      <c r="H43" s="351"/>
      <c r="I43" s="123"/>
      <c r="J43" s="123"/>
    </row>
    <row r="44" spans="1:10" ht="48" x14ac:dyDescent="0.15">
      <c r="A44" s="110" t="s">
        <v>1053</v>
      </c>
      <c r="B44" s="110" t="s">
        <v>2101</v>
      </c>
      <c r="C44" s="353"/>
      <c r="D44" s="110" t="s">
        <v>2110</v>
      </c>
      <c r="E44" s="110" t="s">
        <v>621</v>
      </c>
      <c r="F44" s="351"/>
      <c r="G44" s="350"/>
      <c r="H44" s="351"/>
      <c r="I44" s="123"/>
      <c r="J44" s="123"/>
    </row>
    <row r="45" spans="1:10" ht="48" x14ac:dyDescent="0.15">
      <c r="A45" s="110" t="s">
        <v>1056</v>
      </c>
      <c r="B45" s="110" t="s">
        <v>2102</v>
      </c>
      <c r="C45" s="353"/>
      <c r="D45" s="110" t="s">
        <v>2110</v>
      </c>
      <c r="E45" s="110" t="s">
        <v>621</v>
      </c>
      <c r="F45" s="351"/>
      <c r="G45" s="350"/>
      <c r="H45" s="351"/>
      <c r="I45" s="123"/>
      <c r="J45" s="123"/>
    </row>
    <row r="46" spans="1:10" ht="48" x14ac:dyDescent="0.15">
      <c r="A46" s="110" t="s">
        <v>1059</v>
      </c>
      <c r="B46" s="110" t="s">
        <v>2103</v>
      </c>
      <c r="C46" s="353"/>
      <c r="D46" s="110" t="s">
        <v>2110</v>
      </c>
      <c r="E46" s="110" t="s">
        <v>621</v>
      </c>
      <c r="F46" s="351"/>
      <c r="G46" s="350"/>
      <c r="H46" s="351"/>
      <c r="I46" s="123"/>
      <c r="J46" s="123"/>
    </row>
    <row r="47" spans="1:10" ht="48" x14ac:dyDescent="0.15">
      <c r="A47" s="110" t="s">
        <v>1062</v>
      </c>
      <c r="B47" s="110" t="s">
        <v>2104</v>
      </c>
      <c r="C47" s="353"/>
      <c r="D47" s="110" t="s">
        <v>2110</v>
      </c>
      <c r="E47" s="110" t="s">
        <v>621</v>
      </c>
      <c r="F47" s="351"/>
      <c r="G47" s="350"/>
      <c r="H47" s="351"/>
      <c r="I47" s="123"/>
      <c r="J47" s="123"/>
    </row>
    <row r="48" spans="1:10" ht="48" x14ac:dyDescent="0.15">
      <c r="A48" s="110" t="s">
        <v>1065</v>
      </c>
      <c r="B48" s="110" t="s">
        <v>2105</v>
      </c>
      <c r="C48" s="353"/>
      <c r="D48" s="110" t="s">
        <v>2110</v>
      </c>
      <c r="E48" s="110" t="s">
        <v>621</v>
      </c>
      <c r="F48" s="351"/>
      <c r="G48" s="350"/>
      <c r="H48" s="351"/>
      <c r="I48" s="123"/>
      <c r="J48" s="123"/>
    </row>
    <row r="49" spans="1:10" ht="48" x14ac:dyDescent="0.15">
      <c r="A49" s="110" t="s">
        <v>1068</v>
      </c>
      <c r="B49" s="110" t="s">
        <v>2106</v>
      </c>
      <c r="C49" s="353"/>
      <c r="D49" s="110" t="s">
        <v>2110</v>
      </c>
      <c r="E49" s="110" t="s">
        <v>621</v>
      </c>
      <c r="F49" s="351"/>
      <c r="G49" s="350"/>
      <c r="H49" s="351"/>
      <c r="I49" s="123"/>
      <c r="J49" s="123"/>
    </row>
    <row r="50" spans="1:10" ht="16" x14ac:dyDescent="0.15">
      <c r="A50" s="348" t="s">
        <v>488</v>
      </c>
      <c r="B50" s="182" t="s">
        <v>498</v>
      </c>
      <c r="C50" s="110"/>
      <c r="D50" s="110" t="s">
        <v>433</v>
      </c>
      <c r="E50" s="110" t="s">
        <v>621</v>
      </c>
      <c r="F50" s="110"/>
      <c r="G50" s="350"/>
      <c r="H50" s="351"/>
      <c r="I50" s="123"/>
      <c r="J50" s="123"/>
    </row>
    <row r="51" spans="1:10" ht="16" x14ac:dyDescent="0.15">
      <c r="A51" s="348" t="s">
        <v>499</v>
      </c>
      <c r="B51" s="182" t="s">
        <v>2111</v>
      </c>
      <c r="C51" s="110"/>
      <c r="D51" s="110" t="s">
        <v>433</v>
      </c>
      <c r="E51" s="110" t="s">
        <v>621</v>
      </c>
      <c r="F51" s="110"/>
      <c r="G51" s="350"/>
      <c r="H51" s="351"/>
      <c r="I51" s="123"/>
      <c r="J51" s="123"/>
    </row>
    <row r="52" spans="1:10" ht="16" x14ac:dyDescent="0.15">
      <c r="A52" s="348" t="s">
        <v>508</v>
      </c>
      <c r="B52" s="182" t="s">
        <v>518</v>
      </c>
      <c r="C52" s="110"/>
      <c r="D52" s="110" t="s">
        <v>433</v>
      </c>
      <c r="E52" s="110" t="s">
        <v>621</v>
      </c>
      <c r="F52" s="110"/>
      <c r="G52" s="350"/>
      <c r="H52" s="351"/>
      <c r="I52" s="123"/>
      <c r="J52" s="123"/>
    </row>
    <row r="53" spans="1:10" ht="16" x14ac:dyDescent="0.15">
      <c r="A53" s="348" t="s">
        <v>519</v>
      </c>
      <c r="B53" s="182" t="s">
        <v>528</v>
      </c>
      <c r="C53" s="110"/>
      <c r="D53" s="110" t="s">
        <v>433</v>
      </c>
      <c r="E53" s="110" t="s">
        <v>621</v>
      </c>
      <c r="F53" s="110"/>
      <c r="G53" s="350"/>
      <c r="H53" s="351"/>
      <c r="I53" s="123"/>
      <c r="J53" s="123"/>
    </row>
    <row r="54" spans="1:10" ht="16" x14ac:dyDescent="0.15">
      <c r="A54" s="348" t="s">
        <v>529</v>
      </c>
      <c r="B54" s="182" t="s">
        <v>2112</v>
      </c>
      <c r="C54" s="110"/>
      <c r="D54" s="110" t="s">
        <v>433</v>
      </c>
      <c r="E54" s="110" t="s">
        <v>621</v>
      </c>
      <c r="F54" s="110"/>
      <c r="G54" s="350"/>
      <c r="H54" s="351"/>
      <c r="I54" s="123"/>
      <c r="J54" s="123"/>
    </row>
    <row r="55" spans="1:10" ht="16" x14ac:dyDescent="0.15">
      <c r="A55" s="348" t="s">
        <v>539</v>
      </c>
      <c r="B55" s="182" t="s">
        <v>548</v>
      </c>
      <c r="C55" s="110"/>
      <c r="D55" s="110" t="s">
        <v>433</v>
      </c>
      <c r="E55" s="110" t="s">
        <v>621</v>
      </c>
      <c r="F55" s="110"/>
      <c r="G55" s="350"/>
      <c r="H55" s="351"/>
      <c r="I55" s="123"/>
      <c r="J55" s="123"/>
    </row>
    <row r="56" spans="1:10" ht="17" customHeight="1" x14ac:dyDescent="0.15">
      <c r="A56" s="348" t="s">
        <v>549</v>
      </c>
      <c r="B56" s="182" t="s">
        <v>2113</v>
      </c>
      <c r="C56" s="110"/>
      <c r="D56" s="110" t="s">
        <v>433</v>
      </c>
      <c r="E56" s="110" t="s">
        <v>621</v>
      </c>
      <c r="F56" s="110"/>
      <c r="G56" s="350"/>
      <c r="H56" s="351"/>
      <c r="I56" s="123"/>
      <c r="J56" s="123"/>
    </row>
    <row r="57" spans="1:10" ht="16" x14ac:dyDescent="0.15">
      <c r="A57" s="348" t="s">
        <v>559</v>
      </c>
      <c r="B57" s="182" t="s">
        <v>2114</v>
      </c>
      <c r="C57" s="110"/>
      <c r="D57" s="110" t="s">
        <v>433</v>
      </c>
      <c r="E57" s="110" t="s">
        <v>621</v>
      </c>
      <c r="F57" s="110"/>
      <c r="G57" s="350"/>
      <c r="H57" s="351"/>
      <c r="I57" s="123"/>
      <c r="J57" s="123"/>
    </row>
    <row r="58" spans="1:10" ht="16" x14ac:dyDescent="0.15">
      <c r="A58" s="348" t="s">
        <v>566</v>
      </c>
      <c r="B58" s="182" t="s">
        <v>573</v>
      </c>
      <c r="C58" s="110"/>
      <c r="D58" s="110" t="s">
        <v>433</v>
      </c>
      <c r="E58" s="110" t="s">
        <v>621</v>
      </c>
      <c r="F58" s="110"/>
      <c r="G58" s="350"/>
      <c r="H58" s="351"/>
      <c r="I58" s="123"/>
      <c r="J58" s="123"/>
    </row>
    <row r="59" spans="1:10" ht="16" x14ac:dyDescent="0.15">
      <c r="A59" s="348" t="s">
        <v>583</v>
      </c>
      <c r="B59" s="182" t="s">
        <v>592</v>
      </c>
      <c r="C59" s="110"/>
      <c r="D59" s="110" t="s">
        <v>433</v>
      </c>
      <c r="E59" s="110" t="s">
        <v>621</v>
      </c>
      <c r="F59" s="110"/>
      <c r="G59" s="350"/>
      <c r="H59" s="351"/>
      <c r="I59" s="123"/>
      <c r="J59" s="123"/>
    </row>
    <row r="60" spans="1:10" ht="16" x14ac:dyDescent="0.15">
      <c r="A60" s="348" t="s">
        <v>574</v>
      </c>
      <c r="B60" s="182" t="s">
        <v>2115</v>
      </c>
      <c r="C60" s="110"/>
      <c r="D60" s="110" t="s">
        <v>433</v>
      </c>
      <c r="E60" s="110" t="s">
        <v>621</v>
      </c>
      <c r="F60" s="110"/>
      <c r="G60" s="350"/>
      <c r="H60" s="351"/>
      <c r="I60" s="123"/>
      <c r="J60" s="123"/>
    </row>
    <row r="61" spans="1:10" ht="32" x14ac:dyDescent="0.15">
      <c r="A61" s="348" t="s">
        <v>2124</v>
      </c>
      <c r="B61" s="349" t="s">
        <v>2116</v>
      </c>
      <c r="C61" s="110"/>
      <c r="D61" s="110" t="s">
        <v>121</v>
      </c>
      <c r="E61" s="110" t="s">
        <v>69</v>
      </c>
      <c r="F61" s="110"/>
      <c r="G61" s="350"/>
      <c r="H61" s="351"/>
      <c r="I61" s="123"/>
      <c r="J61" s="123"/>
    </row>
    <row r="62" spans="1:10" ht="32" x14ac:dyDescent="0.15">
      <c r="A62" s="348" t="s">
        <v>2122</v>
      </c>
      <c r="B62" s="349" t="s">
        <v>2117</v>
      </c>
      <c r="C62" s="110"/>
      <c r="D62" s="110" t="s">
        <v>121</v>
      </c>
      <c r="E62" s="110" t="s">
        <v>69</v>
      </c>
      <c r="F62" s="110"/>
      <c r="G62" s="350"/>
      <c r="H62" s="351"/>
      <c r="I62" s="123"/>
      <c r="J62" s="123"/>
    </row>
    <row r="63" spans="1:10" ht="32" x14ac:dyDescent="0.15">
      <c r="A63" s="348" t="s">
        <v>2123</v>
      </c>
      <c r="B63" s="349" t="s">
        <v>2118</v>
      </c>
      <c r="C63" s="110"/>
      <c r="D63" s="110" t="s">
        <v>121</v>
      </c>
      <c r="E63" s="110" t="s">
        <v>69</v>
      </c>
      <c r="F63" s="110"/>
      <c r="G63" s="350"/>
      <c r="H63" s="351"/>
      <c r="I63" s="123"/>
      <c r="J63" s="123"/>
    </row>
    <row r="64" spans="1:10" ht="32" x14ac:dyDescent="0.15">
      <c r="A64" s="348" t="s">
        <v>2125</v>
      </c>
      <c r="B64" s="349" t="s">
        <v>2119</v>
      </c>
      <c r="C64" s="110"/>
      <c r="D64" s="110" t="s">
        <v>121</v>
      </c>
      <c r="E64" s="110" t="s">
        <v>69</v>
      </c>
      <c r="F64" s="110"/>
      <c r="G64" s="350"/>
      <c r="H64" s="351"/>
      <c r="I64" s="123"/>
      <c r="J64" s="123"/>
    </row>
    <row r="65" spans="1:10" ht="32" x14ac:dyDescent="0.15">
      <c r="A65" s="348" t="s">
        <v>2126</v>
      </c>
      <c r="B65" s="349" t="s">
        <v>2120</v>
      </c>
      <c r="C65" s="110"/>
      <c r="D65" s="110" t="s">
        <v>121</v>
      </c>
      <c r="E65" s="110" t="s">
        <v>69</v>
      </c>
      <c r="F65" s="110"/>
      <c r="G65" s="350"/>
      <c r="H65" s="351"/>
      <c r="I65" s="123"/>
      <c r="J65" s="123"/>
    </row>
    <row r="66" spans="1:10" ht="32" x14ac:dyDescent="0.15">
      <c r="A66" s="348" t="s">
        <v>2127</v>
      </c>
      <c r="B66" s="349" t="s">
        <v>2121</v>
      </c>
      <c r="C66" s="110"/>
      <c r="D66" s="110" t="s">
        <v>121</v>
      </c>
      <c r="E66" s="110" t="s">
        <v>69</v>
      </c>
      <c r="F66" s="110"/>
      <c r="G66" s="350"/>
      <c r="H66" s="351"/>
      <c r="I66" s="123"/>
      <c r="J66" s="123"/>
    </row>
  </sheetData>
  <mergeCells count="2">
    <mergeCell ref="A2:J2"/>
    <mergeCell ref="A1:J1"/>
  </mergeCells>
  <phoneticPr fontId="1" type="noConversion"/>
  <dataValidations count="2">
    <dataValidation type="list" allowBlank="1" showInputMessage="1" showErrorMessage="1" sqref="J10:J28" xr:uid="{D3C68432-7B18-1642-BAC7-4DA0CA71CF20}">
      <formula1>"Low, Medium, High"</formula1>
    </dataValidation>
    <dataValidation type="list" allowBlank="1" showInputMessage="1" showErrorMessage="1" sqref="F4:F28" xr:uid="{7A7AD894-A9EE-BB4E-ACFF-7D32D1DB4B1D}">
      <formula1>"Yes, No"</formula1>
    </dataValidation>
  </dataValidations>
  <pageMargins left="0.7" right="0.7" top="0.75" bottom="0.75" header="0.3" footer="0.3"/>
  <pageSetup orientation="portrait" horizontalDpi="0" verticalDpi="0"/>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5AA97D3D-4149-474C-9CA6-C6BDA6EA82EE}">
          <x14:formula1>
            <xm:f>Lists!$H$3:$H$8</xm:f>
          </x14:formula1>
          <xm:sqref>E4:E66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C6092-E419-C440-B96B-3AB7954DAC98}">
  <sheetPr>
    <tabColor theme="9" tint="-0.499984740745262"/>
  </sheetPr>
  <dimension ref="A1:I956"/>
  <sheetViews>
    <sheetView topLeftCell="A2" workbookViewId="0">
      <selection activeCell="F23" sqref="F23"/>
    </sheetView>
  </sheetViews>
  <sheetFormatPr baseColWidth="10" defaultRowHeight="14" x14ac:dyDescent="0.2"/>
  <cols>
    <col min="1" max="1" width="4.6640625" style="20" bestFit="1" customWidth="1"/>
    <col min="2" max="2" width="28.6640625" style="20" customWidth="1"/>
    <col min="3" max="3" width="9.6640625" style="20" customWidth="1"/>
    <col min="4" max="4" width="35.83203125" style="20" customWidth="1"/>
    <col min="5" max="5" width="55.1640625" style="20" customWidth="1"/>
    <col min="6" max="6" width="55.1640625" style="21" customWidth="1"/>
    <col min="7" max="9" width="55.1640625" style="20" customWidth="1"/>
    <col min="10" max="10" width="44.83203125" style="21" customWidth="1"/>
    <col min="11" max="11" width="4" style="21" customWidth="1"/>
    <col min="12" max="12" width="13.33203125" style="21" customWidth="1"/>
    <col min="13" max="13" width="18.5" style="21" customWidth="1"/>
    <col min="14" max="14" width="23" style="21" customWidth="1"/>
    <col min="15" max="16" width="18.5" style="21" customWidth="1"/>
    <col min="17" max="16384" width="10.83203125" style="21"/>
  </cols>
  <sheetData>
    <row r="1" spans="1:9" ht="15" customHeight="1" x14ac:dyDescent="0.2">
      <c r="A1" s="449" t="s">
        <v>478</v>
      </c>
      <c r="B1" s="449"/>
      <c r="C1" s="449"/>
      <c r="D1" s="449"/>
      <c r="E1" s="449"/>
      <c r="F1" s="449"/>
      <c r="G1" s="449"/>
      <c r="H1" s="449"/>
      <c r="I1" s="449"/>
    </row>
    <row r="2" spans="1:9" ht="15" customHeight="1" x14ac:dyDescent="0.2">
      <c r="A2" s="77"/>
      <c r="B2" s="76"/>
      <c r="C2" s="450" t="s">
        <v>2222</v>
      </c>
      <c r="D2" s="451"/>
      <c r="E2" s="451"/>
      <c r="F2" s="451"/>
      <c r="G2" s="451"/>
      <c r="H2" s="451"/>
      <c r="I2" s="452"/>
    </row>
    <row r="3" spans="1:9" s="29" customFormat="1" ht="15" x14ac:dyDescent="0.2">
      <c r="A3" s="380" t="s">
        <v>40</v>
      </c>
      <c r="B3" s="63" t="s">
        <v>194</v>
      </c>
      <c r="C3" s="62" t="s">
        <v>452</v>
      </c>
      <c r="D3" s="61" t="s">
        <v>195</v>
      </c>
      <c r="E3" s="61" t="s">
        <v>196</v>
      </c>
      <c r="F3" s="61" t="s">
        <v>197</v>
      </c>
      <c r="G3" s="61" t="s">
        <v>441</v>
      </c>
      <c r="H3" s="61" t="s">
        <v>198</v>
      </c>
      <c r="I3" s="61" t="s">
        <v>199</v>
      </c>
    </row>
    <row r="4" spans="1:9" s="79" customFormat="1" ht="32" customHeight="1" x14ac:dyDescent="0.2">
      <c r="A4" s="569">
        <f>IF(Forces[[#This Row],[Maco-Environmental Forces]]="","",_xlfn.XLOOKUP(Forces[[#This Row],[Maco-Environmental Forces]],Forces_List[Forces],Forces_List['#]))</f>
        <v>1</v>
      </c>
      <c r="B4" s="147" t="s">
        <v>27</v>
      </c>
      <c r="C4" s="569">
        <v>1</v>
      </c>
      <c r="D4" s="147" t="s">
        <v>639</v>
      </c>
      <c r="E4" s="147" t="s">
        <v>640</v>
      </c>
      <c r="F4" s="147" t="s">
        <v>842</v>
      </c>
      <c r="G4" s="147" t="s">
        <v>843</v>
      </c>
      <c r="H4" s="211" t="s">
        <v>844</v>
      </c>
      <c r="I4" s="211" t="s">
        <v>845</v>
      </c>
    </row>
    <row r="5" spans="1:9" ht="48" x14ac:dyDescent="0.2">
      <c r="A5" s="569">
        <f>IF(Forces[[#This Row],[Maco-Environmental Forces]]="","",_xlfn.XLOOKUP(Forces[[#This Row],[Maco-Environmental Forces]],Forces_List[Forces],Forces_List['#]))</f>
        <v>1</v>
      </c>
      <c r="B5" s="147" t="s">
        <v>27</v>
      </c>
      <c r="C5" s="569">
        <v>2</v>
      </c>
      <c r="D5" s="147" t="s">
        <v>644</v>
      </c>
      <c r="E5" s="147" t="s">
        <v>645</v>
      </c>
      <c r="F5" s="147" t="s">
        <v>646</v>
      </c>
      <c r="G5" s="147" t="s">
        <v>647</v>
      </c>
      <c r="H5" s="211" t="s">
        <v>648</v>
      </c>
      <c r="I5" s="211" t="s">
        <v>649</v>
      </c>
    </row>
    <row r="6" spans="1:9" ht="48" x14ac:dyDescent="0.2">
      <c r="A6" s="569">
        <f>IF(Forces[[#This Row],[Maco-Environmental Forces]]="","",_xlfn.XLOOKUP(Forces[[#This Row],[Maco-Environmental Forces]],Forces_List[Forces],Forces_List['#]))</f>
        <v>1</v>
      </c>
      <c r="B6" s="147" t="s">
        <v>27</v>
      </c>
      <c r="C6" s="569">
        <v>3</v>
      </c>
      <c r="D6" s="147" t="s">
        <v>656</v>
      </c>
      <c r="E6" s="147" t="s">
        <v>657</v>
      </c>
      <c r="F6" s="147" t="s">
        <v>658</v>
      </c>
      <c r="G6" s="147" t="s">
        <v>659</v>
      </c>
      <c r="H6" s="211" t="s">
        <v>660</v>
      </c>
      <c r="I6" s="211" t="s">
        <v>661</v>
      </c>
    </row>
    <row r="7" spans="1:9" ht="48" x14ac:dyDescent="0.2">
      <c r="A7" s="569">
        <f>IF(Forces[[#This Row],[Maco-Environmental Forces]]="","",_xlfn.XLOOKUP(Forces[[#This Row],[Maco-Environmental Forces]],Forces_List[Forces],Forces_List['#]))</f>
        <v>2</v>
      </c>
      <c r="B7" s="147" t="s">
        <v>3</v>
      </c>
      <c r="C7" s="569">
        <v>4</v>
      </c>
      <c r="D7" s="147" t="s">
        <v>668</v>
      </c>
      <c r="E7" s="147" t="s">
        <v>669</v>
      </c>
      <c r="F7" s="147" t="s">
        <v>670</v>
      </c>
      <c r="G7" s="147" t="s">
        <v>671</v>
      </c>
      <c r="H7" s="211" t="s">
        <v>672</v>
      </c>
      <c r="I7" s="211" t="s">
        <v>673</v>
      </c>
    </row>
    <row r="8" spans="1:9" ht="48" x14ac:dyDescent="0.2">
      <c r="A8" s="569">
        <f>IF(Forces[[#This Row],[Maco-Environmental Forces]]="","",_xlfn.XLOOKUP(Forces[[#This Row],[Maco-Environmental Forces]],Forces_List[Forces],Forces_List['#]))</f>
        <v>2</v>
      </c>
      <c r="B8" s="147" t="s">
        <v>3</v>
      </c>
      <c r="C8" s="569">
        <v>5</v>
      </c>
      <c r="D8" s="147" t="s">
        <v>680</v>
      </c>
      <c r="E8" s="147" t="s">
        <v>681</v>
      </c>
      <c r="F8" s="147" t="s">
        <v>682</v>
      </c>
      <c r="G8" s="147" t="s">
        <v>683</v>
      </c>
      <c r="H8" s="211" t="s">
        <v>684</v>
      </c>
      <c r="I8" s="211" t="s">
        <v>685</v>
      </c>
    </row>
    <row r="9" spans="1:9" ht="48" x14ac:dyDescent="0.2">
      <c r="A9" s="569">
        <f>IF(Forces[[#This Row],[Maco-Environmental Forces]]="","",_xlfn.XLOOKUP(Forces[[#This Row],[Maco-Environmental Forces]],Forces_List[Forces],Forces_List['#]))</f>
        <v>2</v>
      </c>
      <c r="B9" s="147" t="s">
        <v>3</v>
      </c>
      <c r="C9" s="569">
        <v>6</v>
      </c>
      <c r="D9" s="147" t="s">
        <v>692</v>
      </c>
      <c r="E9" s="147" t="s">
        <v>693</v>
      </c>
      <c r="F9" s="147" t="s">
        <v>694</v>
      </c>
      <c r="G9" s="147" t="s">
        <v>695</v>
      </c>
      <c r="H9" s="211" t="s">
        <v>696</v>
      </c>
      <c r="I9" s="211" t="s">
        <v>697</v>
      </c>
    </row>
    <row r="10" spans="1:9" s="79" customFormat="1" ht="32" x14ac:dyDescent="0.2">
      <c r="A10" s="569">
        <f>IF(Forces[[#This Row],[Maco-Environmental Forces]]="","",_xlfn.XLOOKUP(Forces[[#This Row],[Maco-Environmental Forces]],Forces_List[Forces],Forces_List['#]))</f>
        <v>3</v>
      </c>
      <c r="B10" s="147" t="s">
        <v>28</v>
      </c>
      <c r="C10" s="569">
        <v>7</v>
      </c>
      <c r="D10" s="147" t="s">
        <v>704</v>
      </c>
      <c r="E10" s="147" t="s">
        <v>705</v>
      </c>
      <c r="F10" s="147" t="s">
        <v>706</v>
      </c>
      <c r="G10" s="147" t="s">
        <v>707</v>
      </c>
      <c r="H10" s="211" t="s">
        <v>708</v>
      </c>
      <c r="I10" s="211" t="s">
        <v>709</v>
      </c>
    </row>
    <row r="11" spans="1:9" ht="48" x14ac:dyDescent="0.2">
      <c r="A11" s="569">
        <f>IF(Forces[[#This Row],[Maco-Environmental Forces]]="","",_xlfn.XLOOKUP(Forces[[#This Row],[Maco-Environmental Forces]],Forces_List[Forces],Forces_List['#]))</f>
        <v>3</v>
      </c>
      <c r="B11" s="147" t="s">
        <v>28</v>
      </c>
      <c r="C11" s="569">
        <v>8</v>
      </c>
      <c r="D11" s="147" t="s">
        <v>716</v>
      </c>
      <c r="E11" s="147" t="s">
        <v>717</v>
      </c>
      <c r="F11" s="147" t="s">
        <v>866</v>
      </c>
      <c r="G11" s="147" t="s">
        <v>867</v>
      </c>
      <c r="H11" s="211" t="s">
        <v>868</v>
      </c>
      <c r="I11" s="211" t="s">
        <v>869</v>
      </c>
    </row>
    <row r="12" spans="1:9" ht="48" x14ac:dyDescent="0.2">
      <c r="A12" s="570">
        <f>IF(Forces[[#This Row],[Maco-Environmental Forces]]="","",_xlfn.XLOOKUP(Forces[[#This Row],[Maco-Environmental Forces]],Forces_List[Forces],Forces_List['#]))</f>
        <v>3</v>
      </c>
      <c r="B12" s="147" t="s">
        <v>28</v>
      </c>
      <c r="C12" s="569">
        <v>9</v>
      </c>
      <c r="D12" s="147" t="s">
        <v>720</v>
      </c>
      <c r="E12" s="147" t="s">
        <v>721</v>
      </c>
      <c r="F12" s="147" t="s">
        <v>722</v>
      </c>
      <c r="G12" s="147" t="s">
        <v>723</v>
      </c>
      <c r="H12" s="211" t="s">
        <v>724</v>
      </c>
      <c r="I12" s="211" t="s">
        <v>725</v>
      </c>
    </row>
    <row r="13" spans="1:9" ht="48" x14ac:dyDescent="0.2">
      <c r="A13" s="569">
        <f>IF(Forces[[#This Row],[Maco-Environmental Forces]]="","",_xlfn.XLOOKUP(Forces[[#This Row],[Maco-Environmental Forces]],Forces_List[Forces],Forces_List['#]))</f>
        <v>4</v>
      </c>
      <c r="B13" s="147" t="s">
        <v>29</v>
      </c>
      <c r="C13" s="569">
        <v>10</v>
      </c>
      <c r="D13" s="147" t="s">
        <v>732</v>
      </c>
      <c r="E13" s="147" t="s">
        <v>733</v>
      </c>
      <c r="F13" s="147" t="s">
        <v>849</v>
      </c>
      <c r="G13" s="147" t="s">
        <v>850</v>
      </c>
      <c r="H13" s="211" t="s">
        <v>851</v>
      </c>
      <c r="I13" s="211" t="s">
        <v>852</v>
      </c>
    </row>
    <row r="14" spans="1:9" ht="48" x14ac:dyDescent="0.2">
      <c r="A14" s="569">
        <f>IF(Forces[[#This Row],[Maco-Environmental Forces]]="","",_xlfn.XLOOKUP(Forces[[#This Row],[Maco-Environmental Forces]],Forces_List[Forces],Forces_List['#]))</f>
        <v>4</v>
      </c>
      <c r="B14" s="147" t="s">
        <v>29</v>
      </c>
      <c r="C14" s="569">
        <v>11</v>
      </c>
      <c r="D14" s="147" t="s">
        <v>736</v>
      </c>
      <c r="E14" s="147" t="s">
        <v>737</v>
      </c>
      <c r="F14" s="147" t="s">
        <v>857</v>
      </c>
      <c r="G14" s="147" t="s">
        <v>858</v>
      </c>
      <c r="H14" s="211" t="s">
        <v>859</v>
      </c>
      <c r="I14" s="211" t="s">
        <v>860</v>
      </c>
    </row>
    <row r="15" spans="1:9" ht="48" x14ac:dyDescent="0.2">
      <c r="A15" s="569">
        <f>IF(Forces[[#This Row],[Maco-Environmental Forces]]="","",_xlfn.XLOOKUP(Forces[[#This Row],[Maco-Environmental Forces]],Forces_List[Forces],Forces_List['#]))</f>
        <v>4</v>
      </c>
      <c r="B15" s="147" t="s">
        <v>29</v>
      </c>
      <c r="C15" s="569">
        <v>12</v>
      </c>
      <c r="D15" s="147" t="s">
        <v>739</v>
      </c>
      <c r="E15" s="147" t="s">
        <v>740</v>
      </c>
      <c r="F15" s="147" t="s">
        <v>741</v>
      </c>
      <c r="G15" s="147" t="s">
        <v>742</v>
      </c>
      <c r="H15" s="211" t="s">
        <v>743</v>
      </c>
      <c r="I15" s="211" t="s">
        <v>744</v>
      </c>
    </row>
    <row r="16" spans="1:9" ht="48" x14ac:dyDescent="0.2">
      <c r="A16" s="570">
        <f>IF(Forces[[#This Row],[Maco-Environmental Forces]]="","",_xlfn.XLOOKUP(Forces[[#This Row],[Maco-Environmental Forces]],Forces_List[Forces],Forces_List['#]))</f>
        <v>5</v>
      </c>
      <c r="B16" s="147" t="s">
        <v>30</v>
      </c>
      <c r="C16" s="569">
        <v>13</v>
      </c>
      <c r="D16" s="147" t="s">
        <v>751</v>
      </c>
      <c r="E16" s="147" t="s">
        <v>752</v>
      </c>
      <c r="F16" s="147" t="s">
        <v>753</v>
      </c>
      <c r="G16" s="147" t="s">
        <v>754</v>
      </c>
      <c r="H16" s="211" t="s">
        <v>755</v>
      </c>
      <c r="I16" s="211" t="s">
        <v>756</v>
      </c>
    </row>
    <row r="17" spans="1:9" ht="48" x14ac:dyDescent="0.2">
      <c r="A17" s="569">
        <f>IF(Forces[[#This Row],[Maco-Environmental Forces]]="","",_xlfn.XLOOKUP(Forces[[#This Row],[Maco-Environmental Forces]],Forces_List[Forces],Forces_List['#]))</f>
        <v>5</v>
      </c>
      <c r="B17" s="147" t="s">
        <v>30</v>
      </c>
      <c r="C17" s="569">
        <v>14</v>
      </c>
      <c r="D17" s="147" t="s">
        <v>763</v>
      </c>
      <c r="E17" s="147" t="s">
        <v>764</v>
      </c>
      <c r="F17" s="147" t="s">
        <v>874</v>
      </c>
      <c r="G17" s="147" t="s">
        <v>875</v>
      </c>
      <c r="H17" s="211" t="s">
        <v>876</v>
      </c>
      <c r="I17" s="211" t="s">
        <v>877</v>
      </c>
    </row>
    <row r="18" spans="1:9" ht="48" x14ac:dyDescent="0.2">
      <c r="A18" s="569">
        <f>IF(Forces[[#This Row],[Maco-Environmental Forces]]="","",_xlfn.XLOOKUP(Forces[[#This Row],[Maco-Environmental Forces]],Forces_List[Forces],Forces_List['#]))</f>
        <v>5</v>
      </c>
      <c r="B18" s="147" t="s">
        <v>30</v>
      </c>
      <c r="C18" s="569">
        <v>15</v>
      </c>
      <c r="D18" s="147" t="s">
        <v>767</v>
      </c>
      <c r="E18" s="147" t="s">
        <v>768</v>
      </c>
      <c r="F18" s="147" t="s">
        <v>769</v>
      </c>
      <c r="G18" s="147" t="s">
        <v>770</v>
      </c>
      <c r="H18" s="147" t="s">
        <v>771</v>
      </c>
      <c r="I18" s="147" t="s">
        <v>772</v>
      </c>
    </row>
    <row r="19" spans="1:9" ht="48" x14ac:dyDescent="0.2">
      <c r="A19" s="569">
        <f>IF(Forces[[#This Row],[Maco-Environmental Forces]]="","",_xlfn.XLOOKUP(Forces[[#This Row],[Maco-Environmental Forces]],Forces_List[Forces],Forces_List['#]))</f>
        <v>6</v>
      </c>
      <c r="B19" s="147" t="s">
        <v>31</v>
      </c>
      <c r="C19" s="569">
        <v>16</v>
      </c>
      <c r="D19" s="147" t="s">
        <v>779</v>
      </c>
      <c r="E19" s="147" t="s">
        <v>780</v>
      </c>
      <c r="F19" s="147" t="s">
        <v>781</v>
      </c>
      <c r="G19" s="147" t="s">
        <v>782</v>
      </c>
      <c r="H19" s="211" t="s">
        <v>783</v>
      </c>
      <c r="I19" s="211" t="s">
        <v>784</v>
      </c>
    </row>
    <row r="20" spans="1:9" ht="48" x14ac:dyDescent="0.2">
      <c r="A20" s="569">
        <f>IF(Forces[[#This Row],[Maco-Environmental Forces]]="","",_xlfn.XLOOKUP(Forces[[#This Row],[Maco-Environmental Forces]],Forces_List[Forces],Forces_List['#]))</f>
        <v>6</v>
      </c>
      <c r="B20" s="147" t="s">
        <v>31</v>
      </c>
      <c r="C20" s="569">
        <v>17</v>
      </c>
      <c r="D20" s="147" t="s">
        <v>791</v>
      </c>
      <c r="E20" s="147" t="s">
        <v>792</v>
      </c>
      <c r="F20" s="147" t="s">
        <v>882</v>
      </c>
      <c r="G20" s="147" t="s">
        <v>883</v>
      </c>
      <c r="H20" s="211" t="s">
        <v>884</v>
      </c>
      <c r="I20" s="211" t="s">
        <v>885</v>
      </c>
    </row>
    <row r="21" spans="1:9" ht="48" x14ac:dyDescent="0.2">
      <c r="A21" s="569">
        <f>IF(Forces[[#This Row],[Maco-Environmental Forces]]="","",_xlfn.XLOOKUP(Forces[[#This Row],[Maco-Environmental Forces]],Forces_List[Forces],Forces_List['#]))</f>
        <v>6</v>
      </c>
      <c r="B21" s="147" t="s">
        <v>31</v>
      </c>
      <c r="C21" s="569">
        <v>18</v>
      </c>
      <c r="D21" s="147" t="s">
        <v>794</v>
      </c>
      <c r="E21" s="147" t="s">
        <v>795</v>
      </c>
      <c r="F21" s="147" t="s">
        <v>796</v>
      </c>
      <c r="G21" s="147" t="s">
        <v>797</v>
      </c>
      <c r="H21" s="211" t="s">
        <v>798</v>
      </c>
      <c r="I21" s="211" t="s">
        <v>799</v>
      </c>
    </row>
    <row r="22" spans="1:9" ht="48" x14ac:dyDescent="0.2">
      <c r="A22" s="569">
        <f>IF(Forces[[#This Row],[Maco-Environmental Forces]]="","",_xlfn.XLOOKUP(Forces[[#This Row],[Maco-Environmental Forces]],Forces_List[Forces],Forces_List['#]))</f>
        <v>7</v>
      </c>
      <c r="B22" s="147" t="s">
        <v>32</v>
      </c>
      <c r="C22" s="569">
        <v>19</v>
      </c>
      <c r="D22" s="147" t="s">
        <v>806</v>
      </c>
      <c r="E22" s="147" t="s">
        <v>807</v>
      </c>
      <c r="F22" s="147" t="s">
        <v>808</v>
      </c>
      <c r="G22" s="147" t="s">
        <v>809</v>
      </c>
      <c r="H22" s="211" t="s">
        <v>810</v>
      </c>
      <c r="I22" s="211" t="s">
        <v>811</v>
      </c>
    </row>
    <row r="23" spans="1:9" ht="48" x14ac:dyDescent="0.2">
      <c r="A23" s="569">
        <f>IF(Forces[[#This Row],[Maco-Environmental Forces]]="","",_xlfn.XLOOKUP(Forces[[#This Row],[Maco-Environmental Forces]],Forces_List[Forces],Forces_List['#]))</f>
        <v>7</v>
      </c>
      <c r="B23" s="147" t="s">
        <v>32</v>
      </c>
      <c r="C23" s="569">
        <v>20</v>
      </c>
      <c r="D23" s="147" t="s">
        <v>818</v>
      </c>
      <c r="E23" s="147" t="s">
        <v>819</v>
      </c>
      <c r="F23" s="147" t="s">
        <v>820</v>
      </c>
      <c r="G23" s="147" t="s">
        <v>821</v>
      </c>
      <c r="H23" s="211" t="s">
        <v>822</v>
      </c>
      <c r="I23" s="211" t="s">
        <v>823</v>
      </c>
    </row>
    <row r="24" spans="1:9" ht="48" x14ac:dyDescent="0.2">
      <c r="A24" s="569">
        <f>IF(Forces[[#This Row],[Maco-Environmental Forces]]="","",_xlfn.XLOOKUP(Forces[[#This Row],[Maco-Environmental Forces]],Forces_List[Forces],Forces_List['#]))</f>
        <v>7</v>
      </c>
      <c r="B24" s="147" t="s">
        <v>32</v>
      </c>
      <c r="C24" s="569">
        <v>21</v>
      </c>
      <c r="D24" s="147" t="s">
        <v>830</v>
      </c>
      <c r="E24" s="147" t="s">
        <v>831</v>
      </c>
      <c r="F24" s="147" t="s">
        <v>832</v>
      </c>
      <c r="G24" s="147" t="s">
        <v>833</v>
      </c>
      <c r="H24" s="211" t="s">
        <v>834</v>
      </c>
      <c r="I24" s="211" t="s">
        <v>835</v>
      </c>
    </row>
    <row r="25" spans="1:9" x14ac:dyDescent="0.15">
      <c r="C25" s="6"/>
      <c r="D25" s="6"/>
      <c r="E25" s="6"/>
      <c r="F25" s="6"/>
      <c r="G25" s="6"/>
      <c r="H25" s="6"/>
      <c r="I25" s="6"/>
    </row>
    <row r="26" spans="1:9" x14ac:dyDescent="0.15">
      <c r="C26" s="6"/>
      <c r="D26" s="6"/>
      <c r="E26" s="6"/>
      <c r="F26" s="6"/>
      <c r="G26" s="6"/>
      <c r="H26" s="6"/>
      <c r="I26" s="6"/>
    </row>
    <row r="27" spans="1:9" x14ac:dyDescent="0.15">
      <c r="C27" s="6"/>
      <c r="D27" s="6"/>
      <c r="E27" s="6"/>
      <c r="F27" s="6"/>
      <c r="G27" s="6"/>
      <c r="H27" s="6"/>
      <c r="I27" s="6"/>
    </row>
    <row r="28" spans="1:9" x14ac:dyDescent="0.15">
      <c r="C28" s="6"/>
      <c r="D28" s="6"/>
      <c r="E28" s="6"/>
      <c r="F28" s="6"/>
      <c r="G28" s="6"/>
      <c r="H28" s="6"/>
      <c r="I28" s="6"/>
    </row>
    <row r="29" spans="1:9" x14ac:dyDescent="0.15">
      <c r="C29" s="6"/>
      <c r="D29" s="6"/>
      <c r="E29" s="6"/>
      <c r="F29" s="6"/>
      <c r="G29" s="6"/>
      <c r="H29" s="6"/>
      <c r="I29" s="6"/>
    </row>
    <row r="30" spans="1:9" x14ac:dyDescent="0.15">
      <c r="C30" s="6"/>
      <c r="D30" s="6"/>
      <c r="E30" s="6"/>
      <c r="F30" s="6"/>
      <c r="G30" s="6"/>
      <c r="H30" s="6"/>
      <c r="I30" s="6"/>
    </row>
    <row r="31" spans="1:9" x14ac:dyDescent="0.15">
      <c r="C31" s="6"/>
      <c r="D31" s="6"/>
      <c r="E31" s="6"/>
      <c r="F31" s="6"/>
      <c r="G31" s="6"/>
      <c r="H31" s="6"/>
      <c r="I31" s="6"/>
    </row>
    <row r="32" spans="1:9" x14ac:dyDescent="0.15">
      <c r="C32" s="6"/>
      <c r="D32" s="6"/>
      <c r="E32" s="6"/>
      <c r="F32" s="6"/>
      <c r="G32" s="6"/>
      <c r="H32" s="6"/>
      <c r="I32" s="6"/>
    </row>
    <row r="33" spans="3:9" x14ac:dyDescent="0.15">
      <c r="C33" s="6"/>
      <c r="D33" s="6"/>
      <c r="E33" s="6"/>
      <c r="F33" s="6"/>
      <c r="G33" s="6"/>
      <c r="H33" s="6"/>
      <c r="I33" s="6"/>
    </row>
    <row r="34" spans="3:9" x14ac:dyDescent="0.15">
      <c r="C34" s="6"/>
      <c r="D34" s="6"/>
      <c r="E34" s="6"/>
      <c r="F34" s="6"/>
      <c r="G34" s="6"/>
      <c r="H34" s="6"/>
      <c r="I34" s="6"/>
    </row>
    <row r="35" spans="3:9" x14ac:dyDescent="0.15">
      <c r="C35" s="6"/>
      <c r="D35" s="6"/>
      <c r="E35" s="6"/>
      <c r="F35" s="6"/>
      <c r="G35" s="6"/>
      <c r="H35" s="6"/>
      <c r="I35" s="6"/>
    </row>
    <row r="36" spans="3:9" x14ac:dyDescent="0.15">
      <c r="C36" s="6"/>
      <c r="D36" s="6"/>
      <c r="E36" s="6"/>
      <c r="F36" s="6"/>
      <c r="G36" s="6"/>
      <c r="H36" s="6"/>
      <c r="I36" s="6"/>
    </row>
    <row r="37" spans="3:9" x14ac:dyDescent="0.15">
      <c r="C37" s="6"/>
      <c r="D37" s="6"/>
      <c r="E37" s="6"/>
      <c r="F37" s="6"/>
      <c r="G37" s="6"/>
      <c r="H37" s="6"/>
      <c r="I37" s="6"/>
    </row>
    <row r="38" spans="3:9" x14ac:dyDescent="0.15">
      <c r="C38" s="6"/>
      <c r="D38" s="6"/>
      <c r="E38" s="6"/>
      <c r="F38" s="6"/>
      <c r="G38" s="6"/>
      <c r="H38" s="6"/>
      <c r="I38" s="6"/>
    </row>
    <row r="39" spans="3:9" x14ac:dyDescent="0.15">
      <c r="C39" s="6"/>
      <c r="D39" s="6"/>
      <c r="E39" s="6"/>
      <c r="F39" s="6"/>
      <c r="G39" s="6"/>
      <c r="H39" s="6"/>
      <c r="I39" s="6"/>
    </row>
    <row r="40" spans="3:9" x14ac:dyDescent="0.15">
      <c r="C40" s="6"/>
      <c r="D40" s="6"/>
      <c r="E40" s="6"/>
      <c r="F40" s="6"/>
      <c r="G40" s="6"/>
      <c r="H40" s="6"/>
      <c r="I40" s="6"/>
    </row>
    <row r="41" spans="3:9" x14ac:dyDescent="0.15">
      <c r="C41" s="6"/>
      <c r="D41" s="6"/>
      <c r="E41" s="6"/>
      <c r="F41" s="6"/>
      <c r="G41" s="6"/>
      <c r="H41" s="6"/>
      <c r="I41" s="6"/>
    </row>
    <row r="42" spans="3:9" x14ac:dyDescent="0.15">
      <c r="C42" s="6"/>
      <c r="D42" s="6"/>
      <c r="E42" s="6"/>
      <c r="F42" s="6"/>
      <c r="G42" s="6"/>
      <c r="H42" s="6"/>
      <c r="I42" s="6"/>
    </row>
    <row r="43" spans="3:9" x14ac:dyDescent="0.15">
      <c r="C43" s="6"/>
      <c r="D43" s="6"/>
      <c r="E43" s="6"/>
      <c r="F43" s="6"/>
      <c r="G43" s="6"/>
      <c r="H43" s="6"/>
      <c r="I43" s="6"/>
    </row>
    <row r="44" spans="3:9" x14ac:dyDescent="0.15">
      <c r="C44" s="6"/>
      <c r="D44" s="6"/>
      <c r="E44" s="6"/>
      <c r="F44" s="6"/>
      <c r="G44" s="6"/>
      <c r="H44" s="6"/>
      <c r="I44" s="6"/>
    </row>
    <row r="45" spans="3:9" x14ac:dyDescent="0.15">
      <c r="C45" s="6"/>
      <c r="D45" s="6"/>
      <c r="E45" s="6"/>
      <c r="F45" s="6"/>
      <c r="G45" s="6"/>
      <c r="H45" s="6"/>
      <c r="I45" s="6"/>
    </row>
    <row r="46" spans="3:9" x14ac:dyDescent="0.15">
      <c r="C46" s="6"/>
      <c r="D46" s="6"/>
      <c r="E46" s="6"/>
      <c r="F46" s="6"/>
      <c r="G46" s="6"/>
      <c r="H46" s="6"/>
      <c r="I46" s="6"/>
    </row>
    <row r="47" spans="3:9" x14ac:dyDescent="0.15">
      <c r="C47" s="6"/>
      <c r="D47" s="6"/>
      <c r="E47" s="6"/>
      <c r="F47" s="6"/>
      <c r="G47" s="6"/>
      <c r="H47" s="6"/>
      <c r="I47" s="6"/>
    </row>
    <row r="48" spans="3:9" x14ac:dyDescent="0.15">
      <c r="C48" s="6"/>
      <c r="D48" s="6"/>
      <c r="E48" s="6"/>
      <c r="F48" s="6"/>
      <c r="G48" s="6"/>
      <c r="H48" s="6"/>
      <c r="I48" s="6"/>
    </row>
    <row r="49" spans="3:9" x14ac:dyDescent="0.15">
      <c r="C49" s="6"/>
      <c r="D49" s="6"/>
      <c r="E49" s="6"/>
      <c r="F49" s="6"/>
      <c r="G49" s="6"/>
      <c r="H49" s="6"/>
      <c r="I49" s="6"/>
    </row>
    <row r="50" spans="3:9" x14ac:dyDescent="0.15">
      <c r="C50" s="6"/>
      <c r="D50" s="6"/>
      <c r="E50" s="6"/>
      <c r="F50" s="6"/>
      <c r="G50" s="6"/>
      <c r="H50" s="6"/>
      <c r="I50" s="6"/>
    </row>
    <row r="51" spans="3:9" x14ac:dyDescent="0.15">
      <c r="C51" s="6"/>
      <c r="D51" s="6"/>
      <c r="E51" s="6"/>
      <c r="F51" s="6"/>
      <c r="G51" s="6"/>
      <c r="H51" s="6"/>
      <c r="I51" s="6"/>
    </row>
    <row r="52" spans="3:9" x14ac:dyDescent="0.15">
      <c r="C52" s="6"/>
      <c r="D52" s="6"/>
      <c r="E52" s="6"/>
      <c r="F52" s="6"/>
      <c r="G52" s="6"/>
      <c r="H52" s="6"/>
      <c r="I52" s="6"/>
    </row>
    <row r="53" spans="3:9" x14ac:dyDescent="0.15">
      <c r="C53" s="6"/>
      <c r="D53" s="6"/>
      <c r="E53" s="6"/>
      <c r="F53" s="6"/>
      <c r="G53" s="6"/>
      <c r="H53" s="6"/>
      <c r="I53" s="6"/>
    </row>
    <row r="54" spans="3:9" x14ac:dyDescent="0.15">
      <c r="C54" s="6"/>
      <c r="D54" s="6"/>
      <c r="E54" s="6"/>
      <c r="F54" s="6"/>
      <c r="G54" s="6"/>
      <c r="H54" s="6"/>
      <c r="I54" s="6"/>
    </row>
    <row r="55" spans="3:9" x14ac:dyDescent="0.15">
      <c r="C55" s="6"/>
      <c r="D55" s="6"/>
      <c r="E55" s="6"/>
      <c r="F55" s="6"/>
      <c r="G55" s="6"/>
      <c r="H55" s="6"/>
      <c r="I55" s="6"/>
    </row>
    <row r="56" spans="3:9" x14ac:dyDescent="0.15">
      <c r="C56" s="6"/>
      <c r="D56" s="6"/>
      <c r="E56" s="6"/>
      <c r="F56" s="6"/>
      <c r="G56" s="6"/>
      <c r="H56" s="6"/>
      <c r="I56" s="6"/>
    </row>
    <row r="57" spans="3:9" x14ac:dyDescent="0.15">
      <c r="C57" s="6"/>
      <c r="D57" s="6"/>
      <c r="E57" s="6"/>
      <c r="F57" s="6"/>
      <c r="G57" s="6"/>
      <c r="H57" s="6"/>
      <c r="I57" s="6"/>
    </row>
    <row r="58" spans="3:9" x14ac:dyDescent="0.15">
      <c r="C58" s="6"/>
      <c r="D58" s="6"/>
      <c r="E58" s="6"/>
      <c r="F58" s="6"/>
      <c r="G58" s="6"/>
      <c r="H58" s="6"/>
      <c r="I58" s="6"/>
    </row>
    <row r="59" spans="3:9" x14ac:dyDescent="0.15">
      <c r="C59" s="6"/>
      <c r="D59" s="6"/>
      <c r="E59" s="6"/>
      <c r="F59" s="6"/>
      <c r="G59" s="6"/>
      <c r="H59" s="6"/>
      <c r="I59" s="6"/>
    </row>
    <row r="60" spans="3:9" x14ac:dyDescent="0.15">
      <c r="C60" s="6"/>
      <c r="D60" s="6"/>
      <c r="E60" s="6"/>
      <c r="F60" s="6"/>
      <c r="G60" s="6"/>
      <c r="H60" s="6"/>
      <c r="I60" s="6"/>
    </row>
    <row r="61" spans="3:9" x14ac:dyDescent="0.15">
      <c r="C61" s="6"/>
      <c r="D61" s="6"/>
      <c r="E61" s="6"/>
      <c r="F61" s="6"/>
      <c r="G61" s="6"/>
      <c r="H61" s="6"/>
      <c r="I61" s="6"/>
    </row>
    <row r="62" spans="3:9" x14ac:dyDescent="0.15">
      <c r="C62" s="6"/>
      <c r="D62" s="6"/>
      <c r="E62" s="6"/>
      <c r="F62" s="6"/>
      <c r="G62" s="6"/>
      <c r="H62" s="6"/>
      <c r="I62" s="6"/>
    </row>
    <row r="63" spans="3:9" x14ac:dyDescent="0.15">
      <c r="C63" s="6"/>
      <c r="D63" s="6"/>
      <c r="E63" s="6"/>
      <c r="F63" s="6"/>
      <c r="G63" s="6"/>
      <c r="H63" s="6"/>
      <c r="I63" s="6"/>
    </row>
    <row r="64" spans="3:9" x14ac:dyDescent="0.15">
      <c r="C64" s="6"/>
      <c r="D64" s="6"/>
      <c r="E64" s="6"/>
      <c r="F64" s="6"/>
      <c r="G64" s="6"/>
      <c r="H64" s="6"/>
      <c r="I64" s="6"/>
    </row>
    <row r="65" spans="3:9" x14ac:dyDescent="0.15">
      <c r="C65" s="6"/>
      <c r="D65" s="6"/>
      <c r="E65" s="6"/>
      <c r="F65" s="6"/>
      <c r="G65" s="6"/>
      <c r="H65" s="6"/>
      <c r="I65" s="6"/>
    </row>
    <row r="66" spans="3:9" x14ac:dyDescent="0.15">
      <c r="C66" s="6"/>
      <c r="D66" s="6"/>
      <c r="E66" s="6"/>
      <c r="F66" s="6"/>
      <c r="G66" s="6"/>
      <c r="H66" s="6"/>
      <c r="I66" s="6"/>
    </row>
    <row r="67" spans="3:9" x14ac:dyDescent="0.15">
      <c r="C67" s="6"/>
      <c r="D67" s="6"/>
      <c r="E67" s="6"/>
      <c r="F67" s="6"/>
      <c r="G67" s="6"/>
      <c r="H67" s="6"/>
      <c r="I67" s="6"/>
    </row>
    <row r="68" spans="3:9" x14ac:dyDescent="0.15">
      <c r="C68" s="6"/>
      <c r="D68" s="6"/>
      <c r="E68" s="6"/>
      <c r="F68" s="6"/>
      <c r="G68" s="6"/>
      <c r="H68" s="6"/>
      <c r="I68" s="6"/>
    </row>
    <row r="69" spans="3:9" x14ac:dyDescent="0.15">
      <c r="C69" s="6"/>
      <c r="D69" s="6"/>
      <c r="E69" s="6"/>
      <c r="F69" s="6"/>
      <c r="G69" s="6"/>
      <c r="H69" s="6"/>
      <c r="I69" s="6"/>
    </row>
    <row r="70" spans="3:9" x14ac:dyDescent="0.15">
      <c r="C70" s="6"/>
      <c r="D70" s="6"/>
      <c r="E70" s="6"/>
      <c r="F70" s="6"/>
      <c r="G70" s="6"/>
      <c r="H70" s="6"/>
      <c r="I70" s="6"/>
    </row>
    <row r="71" spans="3:9" x14ac:dyDescent="0.15">
      <c r="C71" s="6"/>
      <c r="D71" s="6"/>
      <c r="E71" s="6"/>
      <c r="F71" s="6"/>
      <c r="G71" s="6"/>
      <c r="H71" s="6"/>
      <c r="I71" s="6"/>
    </row>
    <row r="72" spans="3:9" x14ac:dyDescent="0.15">
      <c r="C72" s="6"/>
      <c r="D72" s="6"/>
      <c r="E72" s="6"/>
      <c r="F72" s="6"/>
      <c r="G72" s="6"/>
      <c r="H72" s="6"/>
      <c r="I72" s="6"/>
    </row>
    <row r="73" spans="3:9" x14ac:dyDescent="0.15">
      <c r="C73" s="6"/>
      <c r="D73" s="6"/>
      <c r="E73" s="6"/>
      <c r="F73" s="6"/>
      <c r="G73" s="6"/>
      <c r="H73" s="6"/>
      <c r="I73" s="6"/>
    </row>
    <row r="74" spans="3:9" x14ac:dyDescent="0.15">
      <c r="C74" s="6"/>
      <c r="D74" s="6"/>
      <c r="E74" s="6"/>
      <c r="F74" s="6"/>
      <c r="G74" s="6"/>
      <c r="H74" s="6"/>
      <c r="I74" s="6"/>
    </row>
    <row r="75" spans="3:9" x14ac:dyDescent="0.15">
      <c r="C75" s="6"/>
      <c r="D75" s="6"/>
      <c r="E75" s="6"/>
      <c r="F75" s="6"/>
      <c r="G75" s="6"/>
      <c r="H75" s="6"/>
      <c r="I75" s="6"/>
    </row>
    <row r="76" spans="3:9" x14ac:dyDescent="0.15">
      <c r="C76" s="6"/>
      <c r="D76" s="6"/>
      <c r="E76" s="6"/>
      <c r="F76" s="6"/>
      <c r="G76" s="6"/>
      <c r="H76" s="6"/>
      <c r="I76" s="6"/>
    </row>
    <row r="77" spans="3:9" x14ac:dyDescent="0.15">
      <c r="C77" s="6"/>
      <c r="D77" s="6"/>
      <c r="E77" s="6"/>
      <c r="F77" s="6"/>
      <c r="G77" s="6"/>
      <c r="H77" s="6"/>
      <c r="I77" s="6"/>
    </row>
    <row r="78" spans="3:9" x14ac:dyDescent="0.15">
      <c r="C78" s="6"/>
      <c r="D78" s="6"/>
      <c r="E78" s="6"/>
      <c r="F78" s="6"/>
      <c r="G78" s="6"/>
      <c r="H78" s="6"/>
      <c r="I78" s="6"/>
    </row>
    <row r="79" spans="3:9" x14ac:dyDescent="0.15">
      <c r="C79" s="6"/>
      <c r="D79" s="6"/>
      <c r="E79" s="6"/>
      <c r="F79" s="6"/>
      <c r="G79" s="6"/>
      <c r="H79" s="6"/>
      <c r="I79" s="6"/>
    </row>
    <row r="80" spans="3:9" x14ac:dyDescent="0.15">
      <c r="C80" s="6"/>
      <c r="D80" s="6"/>
      <c r="E80" s="6"/>
      <c r="F80" s="6"/>
      <c r="G80" s="6"/>
      <c r="H80" s="6"/>
      <c r="I80" s="6"/>
    </row>
    <row r="81" spans="3:9" x14ac:dyDescent="0.15">
      <c r="C81" s="6"/>
      <c r="D81" s="6"/>
      <c r="E81" s="6"/>
      <c r="F81" s="6"/>
      <c r="G81" s="6"/>
      <c r="H81" s="6"/>
      <c r="I81" s="6"/>
    </row>
    <row r="82" spans="3:9" x14ac:dyDescent="0.15">
      <c r="C82" s="6"/>
      <c r="D82" s="6"/>
      <c r="E82" s="6"/>
      <c r="F82" s="6"/>
      <c r="G82" s="6"/>
      <c r="H82" s="6"/>
      <c r="I82" s="6"/>
    </row>
    <row r="83" spans="3:9" x14ac:dyDescent="0.15">
      <c r="C83" s="6"/>
      <c r="D83" s="6"/>
      <c r="E83" s="6"/>
      <c r="F83" s="6"/>
      <c r="G83" s="6"/>
      <c r="H83" s="6"/>
      <c r="I83" s="6"/>
    </row>
    <row r="84" spans="3:9" x14ac:dyDescent="0.15">
      <c r="C84" s="6"/>
      <c r="D84" s="6"/>
      <c r="E84" s="6"/>
      <c r="F84" s="6"/>
      <c r="G84" s="6"/>
      <c r="H84" s="6"/>
      <c r="I84" s="6"/>
    </row>
    <row r="85" spans="3:9" x14ac:dyDescent="0.15">
      <c r="C85" s="6"/>
      <c r="D85" s="6"/>
      <c r="E85" s="6"/>
      <c r="F85" s="6"/>
      <c r="G85" s="6"/>
      <c r="H85" s="6"/>
      <c r="I85" s="6"/>
    </row>
    <row r="86" spans="3:9" x14ac:dyDescent="0.15">
      <c r="C86" s="6"/>
      <c r="D86" s="6"/>
      <c r="E86" s="6"/>
      <c r="F86" s="6"/>
      <c r="G86" s="6"/>
      <c r="H86" s="6"/>
      <c r="I86" s="6"/>
    </row>
    <row r="87" spans="3:9" x14ac:dyDescent="0.15">
      <c r="C87" s="6"/>
      <c r="D87" s="6"/>
      <c r="E87" s="6"/>
      <c r="F87" s="6"/>
      <c r="G87" s="6"/>
      <c r="H87" s="6"/>
      <c r="I87" s="6"/>
    </row>
    <row r="88" spans="3:9" x14ac:dyDescent="0.15">
      <c r="C88" s="6"/>
      <c r="D88" s="6"/>
      <c r="E88" s="6"/>
      <c r="F88" s="6"/>
      <c r="G88" s="6"/>
      <c r="H88" s="6"/>
      <c r="I88" s="6"/>
    </row>
    <row r="89" spans="3:9" x14ac:dyDescent="0.15">
      <c r="C89" s="6"/>
      <c r="D89" s="6"/>
      <c r="E89" s="6"/>
      <c r="F89" s="6"/>
      <c r="G89" s="6"/>
      <c r="H89" s="6"/>
      <c r="I89" s="6"/>
    </row>
    <row r="90" spans="3:9" x14ac:dyDescent="0.15">
      <c r="C90" s="6"/>
      <c r="D90" s="6"/>
      <c r="E90" s="6"/>
      <c r="F90" s="6"/>
      <c r="G90" s="6"/>
      <c r="H90" s="6"/>
      <c r="I90" s="6"/>
    </row>
    <row r="91" spans="3:9" x14ac:dyDescent="0.15">
      <c r="C91" s="6"/>
      <c r="D91" s="6"/>
      <c r="E91" s="6"/>
      <c r="F91" s="6"/>
      <c r="G91" s="6"/>
      <c r="H91" s="6"/>
      <c r="I91" s="6"/>
    </row>
    <row r="92" spans="3:9" x14ac:dyDescent="0.15">
      <c r="C92" s="6"/>
      <c r="D92" s="6"/>
      <c r="E92" s="6"/>
      <c r="F92" s="6"/>
      <c r="G92" s="6"/>
      <c r="H92" s="6"/>
      <c r="I92" s="6"/>
    </row>
    <row r="93" spans="3:9" x14ac:dyDescent="0.15">
      <c r="C93" s="6"/>
      <c r="D93" s="6"/>
      <c r="E93" s="6"/>
      <c r="F93" s="6"/>
      <c r="G93" s="6"/>
      <c r="H93" s="6"/>
      <c r="I93" s="6"/>
    </row>
    <row r="94" spans="3:9" x14ac:dyDescent="0.15">
      <c r="C94" s="6"/>
      <c r="D94" s="6"/>
      <c r="E94" s="6"/>
      <c r="F94" s="6"/>
      <c r="G94" s="6"/>
      <c r="H94" s="6"/>
      <c r="I94" s="6"/>
    </row>
    <row r="95" spans="3:9" x14ac:dyDescent="0.15">
      <c r="C95" s="6"/>
      <c r="D95" s="6"/>
      <c r="E95" s="6"/>
      <c r="F95" s="6"/>
      <c r="G95" s="6"/>
      <c r="H95" s="6"/>
      <c r="I95" s="6"/>
    </row>
    <row r="96" spans="3:9" x14ac:dyDescent="0.15">
      <c r="C96" s="6"/>
      <c r="D96" s="6"/>
      <c r="E96" s="6"/>
      <c r="F96" s="6"/>
      <c r="G96" s="6"/>
      <c r="H96" s="6"/>
      <c r="I96" s="6"/>
    </row>
    <row r="97" spans="3:9" x14ac:dyDescent="0.15">
      <c r="C97" s="6"/>
      <c r="D97" s="6"/>
      <c r="E97" s="6"/>
      <c r="F97" s="6"/>
      <c r="G97" s="6"/>
      <c r="H97" s="6"/>
      <c r="I97" s="6"/>
    </row>
    <row r="98" spans="3:9" x14ac:dyDescent="0.15">
      <c r="C98" s="6"/>
      <c r="D98" s="6"/>
      <c r="E98" s="6"/>
      <c r="F98" s="6"/>
      <c r="G98" s="6"/>
      <c r="H98" s="6"/>
      <c r="I98" s="6"/>
    </row>
    <row r="99" spans="3:9" x14ac:dyDescent="0.15">
      <c r="C99" s="6"/>
      <c r="D99" s="6"/>
      <c r="E99" s="6"/>
      <c r="F99" s="6"/>
      <c r="G99" s="6"/>
      <c r="H99" s="6"/>
      <c r="I99" s="6"/>
    </row>
    <row r="100" spans="3:9" x14ac:dyDescent="0.15">
      <c r="C100" s="6"/>
      <c r="D100" s="6"/>
      <c r="E100" s="6"/>
      <c r="F100" s="6"/>
      <c r="G100" s="6"/>
      <c r="H100" s="6"/>
      <c r="I100" s="6"/>
    </row>
    <row r="101" spans="3:9" x14ac:dyDescent="0.15">
      <c r="C101" s="6"/>
      <c r="D101" s="6"/>
      <c r="E101" s="6"/>
      <c r="F101" s="6"/>
      <c r="G101" s="6"/>
      <c r="H101" s="6"/>
      <c r="I101" s="6"/>
    </row>
    <row r="102" spans="3:9" x14ac:dyDescent="0.15">
      <c r="C102" s="6"/>
      <c r="D102" s="6"/>
      <c r="E102" s="6"/>
      <c r="F102" s="6"/>
      <c r="G102" s="6"/>
      <c r="H102" s="6"/>
      <c r="I102" s="6"/>
    </row>
    <row r="103" spans="3:9" x14ac:dyDescent="0.15">
      <c r="C103" s="6"/>
      <c r="D103" s="6"/>
      <c r="E103" s="6"/>
      <c r="F103" s="6"/>
      <c r="G103" s="6"/>
      <c r="H103" s="6"/>
      <c r="I103" s="6"/>
    </row>
    <row r="104" spans="3:9" x14ac:dyDescent="0.15">
      <c r="C104" s="6"/>
      <c r="D104" s="6"/>
      <c r="E104" s="6"/>
      <c r="F104" s="6"/>
      <c r="G104" s="6"/>
      <c r="H104" s="6"/>
      <c r="I104" s="6"/>
    </row>
    <row r="105" spans="3:9" x14ac:dyDescent="0.15">
      <c r="C105" s="6"/>
      <c r="D105" s="6"/>
      <c r="E105" s="6"/>
      <c r="F105" s="6"/>
      <c r="G105" s="6"/>
      <c r="H105" s="6"/>
      <c r="I105" s="6"/>
    </row>
    <row r="106" spans="3:9" x14ac:dyDescent="0.15">
      <c r="C106" s="6"/>
      <c r="D106" s="6"/>
      <c r="E106" s="6"/>
      <c r="F106" s="6"/>
      <c r="G106" s="6"/>
      <c r="H106" s="6"/>
      <c r="I106" s="6"/>
    </row>
    <row r="107" spans="3:9" x14ac:dyDescent="0.15">
      <c r="C107" s="6"/>
      <c r="D107" s="6"/>
      <c r="E107" s="6"/>
      <c r="F107" s="6"/>
      <c r="G107" s="6"/>
      <c r="H107" s="6"/>
      <c r="I107" s="6"/>
    </row>
    <row r="108" spans="3:9" x14ac:dyDescent="0.15">
      <c r="C108" s="6"/>
      <c r="D108" s="6"/>
      <c r="E108" s="6"/>
      <c r="F108" s="6"/>
      <c r="G108" s="6"/>
      <c r="H108" s="6"/>
      <c r="I108" s="6"/>
    </row>
    <row r="109" spans="3:9" x14ac:dyDescent="0.15">
      <c r="C109" s="6"/>
      <c r="D109" s="6"/>
      <c r="E109" s="6"/>
      <c r="F109" s="6"/>
      <c r="G109" s="6"/>
      <c r="H109" s="6"/>
      <c r="I109" s="6"/>
    </row>
    <row r="110" spans="3:9" x14ac:dyDescent="0.15">
      <c r="C110" s="6"/>
      <c r="D110" s="6"/>
      <c r="E110" s="6"/>
      <c r="F110" s="6"/>
      <c r="G110" s="6"/>
      <c r="H110" s="6"/>
      <c r="I110" s="6"/>
    </row>
    <row r="111" spans="3:9" x14ac:dyDescent="0.15">
      <c r="C111" s="6"/>
      <c r="D111" s="6"/>
      <c r="E111" s="6"/>
      <c r="F111" s="6"/>
      <c r="G111" s="6"/>
      <c r="H111" s="6"/>
      <c r="I111" s="6"/>
    </row>
    <row r="112" spans="3:9" x14ac:dyDescent="0.15">
      <c r="C112" s="6"/>
      <c r="D112" s="6"/>
      <c r="E112" s="6"/>
      <c r="F112" s="6"/>
      <c r="G112" s="6"/>
      <c r="H112" s="6"/>
      <c r="I112" s="6"/>
    </row>
    <row r="113" spans="3:9" x14ac:dyDescent="0.15">
      <c r="C113" s="6"/>
      <c r="D113" s="6"/>
      <c r="E113" s="6"/>
      <c r="F113" s="6"/>
      <c r="G113" s="6"/>
      <c r="H113" s="6"/>
      <c r="I113" s="6"/>
    </row>
    <row r="114" spans="3:9" x14ac:dyDescent="0.15">
      <c r="C114" s="6"/>
      <c r="D114" s="6"/>
      <c r="E114" s="6"/>
      <c r="F114" s="6"/>
      <c r="G114" s="6"/>
      <c r="H114" s="6"/>
      <c r="I114" s="6"/>
    </row>
    <row r="115" spans="3:9" x14ac:dyDescent="0.15">
      <c r="C115" s="6"/>
      <c r="D115" s="6"/>
      <c r="E115" s="6"/>
      <c r="F115" s="6"/>
      <c r="G115" s="6"/>
      <c r="H115" s="6"/>
      <c r="I115" s="6"/>
    </row>
    <row r="116" spans="3:9" x14ac:dyDescent="0.15">
      <c r="C116" s="6"/>
      <c r="D116" s="6"/>
      <c r="E116" s="6"/>
      <c r="F116" s="6"/>
      <c r="G116" s="6"/>
      <c r="H116" s="6"/>
      <c r="I116" s="6"/>
    </row>
    <row r="117" spans="3:9" x14ac:dyDescent="0.15">
      <c r="C117" s="6"/>
      <c r="D117" s="6"/>
      <c r="E117" s="6"/>
      <c r="F117" s="6"/>
      <c r="G117" s="6"/>
      <c r="H117" s="6"/>
      <c r="I117" s="6"/>
    </row>
    <row r="118" spans="3:9" x14ac:dyDescent="0.15">
      <c r="C118" s="6"/>
      <c r="D118" s="6"/>
      <c r="E118" s="6"/>
      <c r="F118" s="6"/>
      <c r="G118" s="6"/>
      <c r="H118" s="6"/>
      <c r="I118" s="6"/>
    </row>
    <row r="119" spans="3:9" x14ac:dyDescent="0.15">
      <c r="C119" s="6"/>
      <c r="D119" s="6"/>
      <c r="E119" s="6"/>
      <c r="F119" s="6"/>
      <c r="G119" s="6"/>
      <c r="H119" s="6"/>
      <c r="I119" s="6"/>
    </row>
    <row r="120" spans="3:9" x14ac:dyDescent="0.15">
      <c r="C120" s="6"/>
      <c r="D120" s="6"/>
      <c r="E120" s="6"/>
      <c r="F120" s="6"/>
      <c r="G120" s="6"/>
      <c r="H120" s="6"/>
      <c r="I120" s="6"/>
    </row>
    <row r="121" spans="3:9" x14ac:dyDescent="0.15">
      <c r="C121" s="6"/>
      <c r="D121" s="6"/>
      <c r="E121" s="6"/>
      <c r="F121" s="6"/>
      <c r="G121" s="6"/>
      <c r="H121" s="6"/>
      <c r="I121" s="6"/>
    </row>
    <row r="122" spans="3:9" x14ac:dyDescent="0.15">
      <c r="C122" s="6"/>
      <c r="D122" s="6"/>
      <c r="E122" s="6"/>
      <c r="F122" s="6"/>
      <c r="G122" s="6"/>
      <c r="H122" s="6"/>
      <c r="I122" s="6"/>
    </row>
    <row r="123" spans="3:9" x14ac:dyDescent="0.15">
      <c r="C123" s="6"/>
      <c r="D123" s="6"/>
      <c r="E123" s="6"/>
      <c r="F123" s="6"/>
      <c r="G123" s="6"/>
      <c r="H123" s="6"/>
      <c r="I123" s="6"/>
    </row>
    <row r="124" spans="3:9" x14ac:dyDescent="0.15">
      <c r="C124" s="6"/>
      <c r="D124" s="6"/>
      <c r="E124" s="6"/>
      <c r="F124" s="6"/>
      <c r="G124" s="6"/>
      <c r="H124" s="6"/>
      <c r="I124" s="6"/>
    </row>
    <row r="125" spans="3:9" x14ac:dyDescent="0.15">
      <c r="C125" s="6"/>
      <c r="D125" s="6"/>
      <c r="E125" s="6"/>
      <c r="F125" s="6"/>
      <c r="G125" s="6"/>
      <c r="H125" s="6"/>
      <c r="I125" s="6"/>
    </row>
    <row r="126" spans="3:9" x14ac:dyDescent="0.15">
      <c r="C126" s="6"/>
      <c r="D126" s="6"/>
      <c r="E126" s="6"/>
      <c r="F126" s="6"/>
      <c r="G126" s="6"/>
      <c r="H126" s="6"/>
      <c r="I126" s="6"/>
    </row>
    <row r="127" spans="3:9" x14ac:dyDescent="0.15">
      <c r="C127" s="6"/>
      <c r="D127" s="6"/>
      <c r="E127" s="6"/>
      <c r="F127" s="6"/>
      <c r="G127" s="6"/>
      <c r="H127" s="6"/>
      <c r="I127" s="6"/>
    </row>
    <row r="128" spans="3:9" x14ac:dyDescent="0.15">
      <c r="C128" s="6"/>
      <c r="D128" s="6"/>
      <c r="E128" s="6"/>
      <c r="F128" s="6"/>
      <c r="G128" s="6"/>
      <c r="H128" s="6"/>
      <c r="I128" s="6"/>
    </row>
    <row r="129" spans="3:9" x14ac:dyDescent="0.15">
      <c r="C129" s="6"/>
      <c r="D129" s="6"/>
      <c r="E129" s="6"/>
      <c r="F129" s="6"/>
      <c r="G129" s="6"/>
      <c r="H129" s="6"/>
      <c r="I129" s="6"/>
    </row>
    <row r="130" spans="3:9" x14ac:dyDescent="0.15">
      <c r="C130" s="6"/>
      <c r="D130" s="6"/>
      <c r="E130" s="6"/>
      <c r="F130" s="6"/>
      <c r="G130" s="6"/>
      <c r="H130" s="6"/>
      <c r="I130" s="6"/>
    </row>
    <row r="131" spans="3:9" x14ac:dyDescent="0.15">
      <c r="C131" s="6"/>
      <c r="D131" s="6"/>
      <c r="E131" s="6"/>
      <c r="F131" s="6"/>
      <c r="G131" s="6"/>
      <c r="H131" s="6"/>
      <c r="I131" s="6"/>
    </row>
    <row r="132" spans="3:9" x14ac:dyDescent="0.15">
      <c r="C132" s="6"/>
      <c r="D132" s="6"/>
      <c r="E132" s="6"/>
      <c r="F132" s="6"/>
      <c r="G132" s="6"/>
      <c r="H132" s="6"/>
      <c r="I132" s="6"/>
    </row>
    <row r="133" spans="3:9" x14ac:dyDescent="0.15">
      <c r="C133" s="6"/>
      <c r="D133" s="6"/>
      <c r="E133" s="6"/>
      <c r="F133" s="6"/>
      <c r="G133" s="6"/>
      <c r="H133" s="6"/>
      <c r="I133" s="6"/>
    </row>
    <row r="134" spans="3:9" x14ac:dyDescent="0.15">
      <c r="C134" s="6"/>
      <c r="D134" s="6"/>
      <c r="E134" s="6"/>
      <c r="F134" s="6"/>
      <c r="G134" s="6"/>
      <c r="H134" s="6"/>
      <c r="I134" s="6"/>
    </row>
    <row r="135" spans="3:9" x14ac:dyDescent="0.15">
      <c r="C135" s="6"/>
      <c r="D135" s="6"/>
      <c r="E135" s="6"/>
      <c r="F135" s="6"/>
      <c r="G135" s="6"/>
      <c r="H135" s="6"/>
      <c r="I135" s="6"/>
    </row>
    <row r="136" spans="3:9" x14ac:dyDescent="0.15">
      <c r="C136" s="6"/>
      <c r="D136" s="6"/>
      <c r="E136" s="6"/>
      <c r="F136" s="6"/>
      <c r="G136" s="6"/>
      <c r="H136" s="6"/>
      <c r="I136" s="6"/>
    </row>
    <row r="137" spans="3:9" x14ac:dyDescent="0.15">
      <c r="C137" s="6"/>
      <c r="D137" s="6"/>
      <c r="E137" s="6"/>
      <c r="F137" s="6"/>
      <c r="G137" s="6"/>
      <c r="H137" s="6"/>
      <c r="I137" s="6"/>
    </row>
    <row r="138" spans="3:9" x14ac:dyDescent="0.15">
      <c r="C138" s="6"/>
      <c r="D138" s="6"/>
      <c r="E138" s="6"/>
      <c r="F138" s="6"/>
      <c r="G138" s="6"/>
      <c r="H138" s="6"/>
      <c r="I138" s="6"/>
    </row>
    <row r="139" spans="3:9" x14ac:dyDescent="0.15">
      <c r="C139" s="6"/>
      <c r="D139" s="6"/>
      <c r="E139" s="6"/>
      <c r="F139" s="6"/>
      <c r="G139" s="6"/>
      <c r="H139" s="6"/>
      <c r="I139" s="6"/>
    </row>
    <row r="140" spans="3:9" x14ac:dyDescent="0.15">
      <c r="C140" s="6"/>
      <c r="D140" s="6"/>
      <c r="E140" s="6"/>
      <c r="F140" s="6"/>
      <c r="G140" s="6"/>
      <c r="H140" s="6"/>
      <c r="I140" s="6"/>
    </row>
    <row r="141" spans="3:9" x14ac:dyDescent="0.15">
      <c r="C141" s="6"/>
      <c r="D141" s="6"/>
      <c r="E141" s="6"/>
      <c r="F141" s="6"/>
      <c r="G141" s="6"/>
      <c r="H141" s="6"/>
      <c r="I141" s="6"/>
    </row>
    <row r="142" spans="3:9" x14ac:dyDescent="0.15">
      <c r="C142" s="6"/>
      <c r="D142" s="6"/>
      <c r="E142" s="6"/>
      <c r="F142" s="6"/>
      <c r="G142" s="6"/>
      <c r="H142" s="6"/>
      <c r="I142" s="6"/>
    </row>
    <row r="143" spans="3:9" x14ac:dyDescent="0.15">
      <c r="C143" s="6"/>
      <c r="D143" s="6"/>
      <c r="E143" s="6"/>
      <c r="F143" s="6"/>
      <c r="G143" s="6"/>
      <c r="H143" s="6"/>
      <c r="I143" s="6"/>
    </row>
    <row r="144" spans="3:9" x14ac:dyDescent="0.15">
      <c r="C144" s="6"/>
      <c r="D144" s="6"/>
      <c r="E144" s="6"/>
      <c r="F144" s="6"/>
      <c r="G144" s="6"/>
      <c r="H144" s="6"/>
      <c r="I144" s="6"/>
    </row>
    <row r="145" spans="3:9" x14ac:dyDescent="0.15">
      <c r="C145" s="6"/>
      <c r="D145" s="6"/>
      <c r="E145" s="6"/>
      <c r="F145" s="6"/>
      <c r="G145" s="6"/>
      <c r="H145" s="6"/>
      <c r="I145" s="6"/>
    </row>
    <row r="146" spans="3:9" x14ac:dyDescent="0.15">
      <c r="C146" s="6"/>
      <c r="D146" s="6"/>
      <c r="E146" s="6"/>
      <c r="F146" s="6"/>
      <c r="G146" s="6"/>
      <c r="H146" s="6"/>
      <c r="I146" s="6"/>
    </row>
    <row r="147" spans="3:9" x14ac:dyDescent="0.15">
      <c r="C147" s="6"/>
      <c r="D147" s="6"/>
      <c r="E147" s="6"/>
      <c r="F147" s="6"/>
      <c r="G147" s="6"/>
      <c r="H147" s="6"/>
      <c r="I147" s="6"/>
    </row>
    <row r="148" spans="3:9" x14ac:dyDescent="0.15">
      <c r="C148" s="6"/>
      <c r="D148" s="6"/>
      <c r="E148" s="6"/>
      <c r="F148" s="6"/>
      <c r="G148" s="6"/>
      <c r="H148" s="6"/>
      <c r="I148" s="6"/>
    </row>
    <row r="149" spans="3:9" x14ac:dyDescent="0.15">
      <c r="C149" s="6"/>
      <c r="D149" s="6"/>
      <c r="E149" s="6"/>
      <c r="F149" s="6"/>
      <c r="G149" s="6"/>
      <c r="H149" s="6"/>
      <c r="I149" s="6"/>
    </row>
    <row r="150" spans="3:9" x14ac:dyDescent="0.15">
      <c r="C150" s="6"/>
      <c r="D150" s="6"/>
      <c r="E150" s="6"/>
      <c r="F150" s="6"/>
      <c r="G150" s="6"/>
      <c r="H150" s="6"/>
      <c r="I150" s="6"/>
    </row>
    <row r="151" spans="3:9" x14ac:dyDescent="0.15">
      <c r="C151" s="6"/>
      <c r="D151" s="6"/>
      <c r="E151" s="6"/>
      <c r="F151" s="6"/>
      <c r="G151" s="6"/>
      <c r="H151" s="6"/>
      <c r="I151" s="6"/>
    </row>
    <row r="152" spans="3:9" x14ac:dyDescent="0.15">
      <c r="C152" s="6"/>
      <c r="D152" s="6"/>
      <c r="E152" s="6"/>
      <c r="F152" s="6"/>
      <c r="G152" s="6"/>
      <c r="H152" s="6"/>
      <c r="I152" s="6"/>
    </row>
    <row r="153" spans="3:9" x14ac:dyDescent="0.15">
      <c r="C153" s="6"/>
      <c r="D153" s="6"/>
      <c r="E153" s="6"/>
      <c r="F153" s="6"/>
      <c r="G153" s="6"/>
      <c r="H153" s="6"/>
      <c r="I153" s="6"/>
    </row>
    <row r="154" spans="3:9" x14ac:dyDescent="0.15">
      <c r="C154" s="6"/>
      <c r="D154" s="6"/>
      <c r="E154" s="6"/>
      <c r="F154" s="6"/>
      <c r="G154" s="6"/>
      <c r="H154" s="6"/>
      <c r="I154" s="6"/>
    </row>
    <row r="155" spans="3:9" x14ac:dyDescent="0.15">
      <c r="C155" s="6"/>
      <c r="D155" s="6"/>
      <c r="E155" s="6"/>
      <c r="F155" s="6"/>
      <c r="G155" s="6"/>
      <c r="H155" s="6"/>
      <c r="I155" s="6"/>
    </row>
    <row r="156" spans="3:9" x14ac:dyDescent="0.15">
      <c r="C156" s="6"/>
      <c r="D156" s="6"/>
      <c r="E156" s="6"/>
      <c r="F156" s="6"/>
      <c r="G156" s="6"/>
      <c r="H156" s="6"/>
      <c r="I156" s="6"/>
    </row>
    <row r="157" spans="3:9" x14ac:dyDescent="0.15">
      <c r="C157" s="6"/>
      <c r="D157" s="6"/>
      <c r="E157" s="6"/>
      <c r="F157" s="6"/>
      <c r="G157" s="6"/>
      <c r="H157" s="6"/>
      <c r="I157" s="6"/>
    </row>
    <row r="158" spans="3:9" x14ac:dyDescent="0.15">
      <c r="C158" s="6"/>
      <c r="D158" s="6"/>
      <c r="E158" s="6"/>
      <c r="F158" s="6"/>
      <c r="G158" s="6"/>
      <c r="H158" s="6"/>
      <c r="I158" s="6"/>
    </row>
    <row r="159" spans="3:9" x14ac:dyDescent="0.15">
      <c r="C159" s="6"/>
      <c r="D159" s="6"/>
      <c r="E159" s="6"/>
      <c r="F159" s="6"/>
      <c r="G159" s="6"/>
      <c r="H159" s="6"/>
      <c r="I159" s="6"/>
    </row>
    <row r="160" spans="3:9" x14ac:dyDescent="0.15">
      <c r="C160" s="6"/>
      <c r="D160" s="6"/>
      <c r="E160" s="6"/>
      <c r="F160" s="6"/>
      <c r="G160" s="6"/>
      <c r="H160" s="6"/>
      <c r="I160" s="6"/>
    </row>
    <row r="161" spans="3:9" x14ac:dyDescent="0.15">
      <c r="C161" s="6"/>
      <c r="D161" s="6"/>
      <c r="E161" s="6"/>
      <c r="F161" s="6"/>
      <c r="G161" s="6"/>
      <c r="H161" s="6"/>
      <c r="I161" s="6"/>
    </row>
    <row r="162" spans="3:9" x14ac:dyDescent="0.15">
      <c r="C162" s="6"/>
      <c r="D162" s="6"/>
      <c r="E162" s="6"/>
      <c r="F162" s="6"/>
      <c r="G162" s="6"/>
      <c r="H162" s="6"/>
      <c r="I162" s="6"/>
    </row>
    <row r="163" spans="3:9" x14ac:dyDescent="0.15">
      <c r="C163" s="6"/>
      <c r="D163" s="6"/>
      <c r="E163" s="6"/>
      <c r="F163" s="6"/>
      <c r="G163" s="6"/>
      <c r="H163" s="6"/>
      <c r="I163" s="6"/>
    </row>
    <row r="164" spans="3:9" x14ac:dyDescent="0.15">
      <c r="C164" s="6"/>
      <c r="D164" s="6"/>
      <c r="E164" s="6"/>
      <c r="F164" s="6"/>
      <c r="G164" s="6"/>
      <c r="H164" s="6"/>
      <c r="I164" s="6"/>
    </row>
    <row r="165" spans="3:9" x14ac:dyDescent="0.15">
      <c r="C165" s="6"/>
      <c r="D165" s="6"/>
      <c r="E165" s="6"/>
      <c r="F165" s="6"/>
      <c r="G165" s="6"/>
      <c r="H165" s="6"/>
      <c r="I165" s="6"/>
    </row>
    <row r="166" spans="3:9" x14ac:dyDescent="0.15">
      <c r="C166" s="6"/>
      <c r="D166" s="6"/>
      <c r="E166" s="6"/>
      <c r="F166" s="6"/>
      <c r="G166" s="6"/>
      <c r="H166" s="6"/>
      <c r="I166" s="6"/>
    </row>
    <row r="167" spans="3:9" x14ac:dyDescent="0.15">
      <c r="C167" s="6"/>
      <c r="D167" s="6"/>
      <c r="E167" s="6"/>
      <c r="F167" s="6"/>
      <c r="G167" s="6"/>
      <c r="H167" s="6"/>
      <c r="I167" s="6"/>
    </row>
    <row r="168" spans="3:9" x14ac:dyDescent="0.15">
      <c r="C168" s="6"/>
      <c r="D168" s="6"/>
      <c r="E168" s="6"/>
      <c r="F168" s="6"/>
      <c r="G168" s="6"/>
      <c r="H168" s="6"/>
      <c r="I168" s="6"/>
    </row>
    <row r="169" spans="3:9" x14ac:dyDescent="0.15">
      <c r="C169" s="6"/>
      <c r="D169" s="6"/>
      <c r="E169" s="6"/>
      <c r="F169" s="6"/>
      <c r="G169" s="6"/>
      <c r="H169" s="6"/>
      <c r="I169" s="6"/>
    </row>
    <row r="170" spans="3:9" x14ac:dyDescent="0.15">
      <c r="C170" s="6"/>
      <c r="D170" s="6"/>
      <c r="E170" s="6"/>
      <c r="F170" s="6"/>
      <c r="G170" s="6"/>
      <c r="H170" s="6"/>
      <c r="I170" s="6"/>
    </row>
    <row r="171" spans="3:9" x14ac:dyDescent="0.15">
      <c r="C171" s="6"/>
      <c r="D171" s="6"/>
      <c r="E171" s="6"/>
      <c r="F171" s="6"/>
      <c r="G171" s="6"/>
      <c r="H171" s="6"/>
      <c r="I171" s="6"/>
    </row>
    <row r="172" spans="3:9" x14ac:dyDescent="0.15">
      <c r="C172" s="6"/>
      <c r="D172" s="6"/>
      <c r="E172" s="6"/>
      <c r="F172" s="6"/>
      <c r="G172" s="6"/>
      <c r="H172" s="6"/>
      <c r="I172" s="6"/>
    </row>
    <row r="173" spans="3:9" x14ac:dyDescent="0.15">
      <c r="C173" s="6"/>
      <c r="D173" s="6"/>
      <c r="E173" s="6"/>
      <c r="F173" s="6"/>
      <c r="G173" s="6"/>
      <c r="H173" s="6"/>
      <c r="I173" s="6"/>
    </row>
    <row r="174" spans="3:9" x14ac:dyDescent="0.15">
      <c r="C174" s="6"/>
      <c r="D174" s="6"/>
      <c r="E174" s="6"/>
      <c r="F174" s="6"/>
      <c r="G174" s="6"/>
      <c r="H174" s="6"/>
      <c r="I174" s="6"/>
    </row>
    <row r="175" spans="3:9" x14ac:dyDescent="0.15">
      <c r="C175" s="6"/>
      <c r="D175" s="6"/>
      <c r="E175" s="6"/>
      <c r="F175" s="6"/>
      <c r="G175" s="6"/>
      <c r="H175" s="6"/>
      <c r="I175" s="6"/>
    </row>
    <row r="176" spans="3:9" x14ac:dyDescent="0.15">
      <c r="C176" s="6"/>
      <c r="D176" s="6"/>
      <c r="E176" s="6"/>
      <c r="F176" s="6"/>
      <c r="G176" s="6"/>
      <c r="H176" s="6"/>
      <c r="I176" s="6"/>
    </row>
    <row r="177" spans="3:9" x14ac:dyDescent="0.15">
      <c r="C177" s="6"/>
      <c r="D177" s="6"/>
      <c r="E177" s="6"/>
      <c r="F177" s="6"/>
      <c r="G177" s="6"/>
      <c r="H177" s="6"/>
      <c r="I177" s="6"/>
    </row>
    <row r="178" spans="3:9" x14ac:dyDescent="0.15">
      <c r="C178" s="6"/>
      <c r="D178" s="6"/>
      <c r="E178" s="6"/>
      <c r="F178" s="6"/>
      <c r="G178" s="6"/>
      <c r="H178" s="6"/>
      <c r="I178" s="6"/>
    </row>
    <row r="179" spans="3:9" x14ac:dyDescent="0.15">
      <c r="C179" s="6"/>
      <c r="D179" s="6"/>
      <c r="E179" s="6"/>
      <c r="F179" s="6"/>
      <c r="G179" s="6"/>
      <c r="H179" s="6"/>
      <c r="I179" s="6"/>
    </row>
    <row r="180" spans="3:9" x14ac:dyDescent="0.15">
      <c r="C180" s="6"/>
      <c r="D180" s="6"/>
      <c r="E180" s="6"/>
      <c r="F180" s="6"/>
      <c r="G180" s="6"/>
      <c r="H180" s="6"/>
      <c r="I180" s="6"/>
    </row>
    <row r="181" spans="3:9" x14ac:dyDescent="0.15">
      <c r="C181" s="6"/>
      <c r="D181" s="6"/>
      <c r="E181" s="6"/>
      <c r="F181" s="6"/>
      <c r="G181" s="6"/>
      <c r="H181" s="6"/>
      <c r="I181" s="6"/>
    </row>
    <row r="182" spans="3:9" x14ac:dyDescent="0.15">
      <c r="C182" s="6"/>
      <c r="D182" s="6"/>
      <c r="E182" s="6"/>
      <c r="F182" s="6"/>
      <c r="G182" s="6"/>
      <c r="H182" s="6"/>
      <c r="I182" s="6"/>
    </row>
    <row r="183" spans="3:9" x14ac:dyDescent="0.15">
      <c r="C183" s="6"/>
      <c r="D183" s="6"/>
      <c r="E183" s="6"/>
      <c r="F183" s="6"/>
      <c r="G183" s="6"/>
      <c r="H183" s="6"/>
      <c r="I183" s="6"/>
    </row>
    <row r="184" spans="3:9" x14ac:dyDescent="0.15">
      <c r="C184" s="6"/>
      <c r="D184" s="6"/>
      <c r="E184" s="6"/>
      <c r="F184" s="6"/>
      <c r="G184" s="6"/>
      <c r="H184" s="6"/>
      <c r="I184" s="6"/>
    </row>
    <row r="185" spans="3:9" x14ac:dyDescent="0.15">
      <c r="C185" s="6"/>
      <c r="D185" s="6"/>
      <c r="E185" s="6"/>
      <c r="F185" s="6"/>
      <c r="G185" s="6"/>
      <c r="H185" s="6"/>
      <c r="I185" s="6"/>
    </row>
    <row r="186" spans="3:9" x14ac:dyDescent="0.15">
      <c r="C186" s="6"/>
      <c r="D186" s="6"/>
      <c r="E186" s="6"/>
      <c r="F186" s="6"/>
      <c r="G186" s="6"/>
      <c r="H186" s="6"/>
      <c r="I186" s="6"/>
    </row>
    <row r="187" spans="3:9" x14ac:dyDescent="0.15">
      <c r="C187" s="6"/>
      <c r="D187" s="6"/>
      <c r="E187" s="6"/>
      <c r="F187" s="6"/>
      <c r="G187" s="6"/>
      <c r="H187" s="6"/>
      <c r="I187" s="6"/>
    </row>
    <row r="188" spans="3:9" x14ac:dyDescent="0.15">
      <c r="C188" s="6"/>
      <c r="D188" s="6"/>
      <c r="E188" s="6"/>
      <c r="F188" s="6"/>
      <c r="G188" s="6"/>
      <c r="H188" s="6"/>
      <c r="I188" s="6"/>
    </row>
    <row r="189" spans="3:9" x14ac:dyDescent="0.15">
      <c r="C189" s="6"/>
      <c r="D189" s="6"/>
      <c r="E189" s="6"/>
      <c r="F189" s="6"/>
      <c r="G189" s="6"/>
      <c r="H189" s="6"/>
      <c r="I189" s="6"/>
    </row>
    <row r="190" spans="3:9" x14ac:dyDescent="0.15">
      <c r="C190" s="6"/>
      <c r="D190" s="6"/>
      <c r="E190" s="6"/>
      <c r="F190" s="6"/>
      <c r="G190" s="6"/>
      <c r="H190" s="6"/>
      <c r="I190" s="6"/>
    </row>
    <row r="191" spans="3:9" x14ac:dyDescent="0.15">
      <c r="C191" s="6"/>
      <c r="D191" s="6"/>
      <c r="E191" s="6"/>
      <c r="F191" s="6"/>
      <c r="G191" s="6"/>
      <c r="H191" s="6"/>
      <c r="I191" s="6"/>
    </row>
    <row r="192" spans="3:9" x14ac:dyDescent="0.15">
      <c r="C192" s="6"/>
      <c r="D192" s="6"/>
      <c r="E192" s="6"/>
      <c r="F192" s="6"/>
      <c r="G192" s="6"/>
      <c r="H192" s="6"/>
      <c r="I192" s="6"/>
    </row>
    <row r="193" spans="3:9" x14ac:dyDescent="0.15">
      <c r="C193" s="6"/>
      <c r="D193" s="6"/>
      <c r="E193" s="6"/>
      <c r="F193" s="6"/>
      <c r="G193" s="6"/>
      <c r="H193" s="6"/>
      <c r="I193" s="6"/>
    </row>
    <row r="194" spans="3:9" x14ac:dyDescent="0.15">
      <c r="C194" s="6"/>
      <c r="D194" s="6"/>
      <c r="E194" s="6"/>
      <c r="F194" s="6"/>
      <c r="G194" s="6"/>
      <c r="H194" s="6"/>
      <c r="I194" s="6"/>
    </row>
    <row r="195" spans="3:9" x14ac:dyDescent="0.15">
      <c r="C195" s="6"/>
      <c r="D195" s="6"/>
      <c r="E195" s="6"/>
      <c r="F195" s="6"/>
      <c r="G195" s="6"/>
      <c r="H195" s="6"/>
      <c r="I195" s="6"/>
    </row>
    <row r="196" spans="3:9" x14ac:dyDescent="0.15">
      <c r="C196" s="6"/>
      <c r="D196" s="6"/>
      <c r="E196" s="6"/>
      <c r="F196" s="6"/>
      <c r="G196" s="6"/>
      <c r="H196" s="6"/>
      <c r="I196" s="6"/>
    </row>
    <row r="197" spans="3:9" x14ac:dyDescent="0.15">
      <c r="C197" s="6"/>
      <c r="D197" s="6"/>
      <c r="E197" s="6"/>
      <c r="F197" s="6"/>
      <c r="G197" s="6"/>
      <c r="H197" s="6"/>
      <c r="I197" s="6"/>
    </row>
    <row r="198" spans="3:9" x14ac:dyDescent="0.15">
      <c r="C198" s="6"/>
      <c r="D198" s="6"/>
      <c r="E198" s="6"/>
      <c r="F198" s="6"/>
      <c r="G198" s="6"/>
      <c r="H198" s="6"/>
      <c r="I198" s="6"/>
    </row>
    <row r="199" spans="3:9" x14ac:dyDescent="0.15">
      <c r="C199" s="6"/>
      <c r="D199" s="6"/>
      <c r="E199" s="6"/>
      <c r="F199" s="6"/>
      <c r="G199" s="6"/>
      <c r="H199" s="6"/>
      <c r="I199" s="6"/>
    </row>
    <row r="200" spans="3:9" x14ac:dyDescent="0.15">
      <c r="C200" s="6"/>
      <c r="D200" s="6"/>
      <c r="E200" s="6"/>
      <c r="F200" s="6"/>
      <c r="G200" s="6"/>
      <c r="H200" s="6"/>
      <c r="I200" s="6"/>
    </row>
    <row r="201" spans="3:9" x14ac:dyDescent="0.15">
      <c r="C201" s="6"/>
      <c r="D201" s="6"/>
      <c r="E201" s="6"/>
      <c r="F201" s="6"/>
      <c r="G201" s="6"/>
      <c r="H201" s="6"/>
      <c r="I201" s="6"/>
    </row>
    <row r="202" spans="3:9" x14ac:dyDescent="0.15">
      <c r="C202" s="6"/>
      <c r="D202" s="6"/>
      <c r="E202" s="6"/>
      <c r="F202" s="6"/>
      <c r="G202" s="6"/>
      <c r="H202" s="6"/>
      <c r="I202" s="6"/>
    </row>
    <row r="203" spans="3:9" x14ac:dyDescent="0.15">
      <c r="C203" s="6"/>
      <c r="D203" s="6"/>
      <c r="E203" s="6"/>
      <c r="F203" s="6"/>
      <c r="G203" s="6"/>
      <c r="H203" s="6"/>
      <c r="I203" s="6"/>
    </row>
    <row r="204" spans="3:9" x14ac:dyDescent="0.15">
      <c r="C204" s="6"/>
      <c r="D204" s="6"/>
      <c r="E204" s="6"/>
      <c r="F204" s="6"/>
      <c r="G204" s="6"/>
      <c r="H204" s="6"/>
      <c r="I204" s="6"/>
    </row>
    <row r="205" spans="3:9" x14ac:dyDescent="0.15">
      <c r="C205" s="6"/>
      <c r="D205" s="6"/>
      <c r="E205" s="6"/>
      <c r="F205" s="6"/>
      <c r="G205" s="6"/>
      <c r="H205" s="6"/>
      <c r="I205" s="6"/>
    </row>
    <row r="206" spans="3:9" x14ac:dyDescent="0.15">
      <c r="C206" s="6"/>
      <c r="D206" s="6"/>
      <c r="E206" s="6"/>
      <c r="F206" s="6"/>
      <c r="G206" s="6"/>
      <c r="H206" s="6"/>
      <c r="I206" s="6"/>
    </row>
    <row r="207" spans="3:9" x14ac:dyDescent="0.15">
      <c r="C207" s="6"/>
      <c r="D207" s="6"/>
      <c r="E207" s="6"/>
      <c r="F207" s="6"/>
      <c r="G207" s="6"/>
      <c r="H207" s="6"/>
      <c r="I207" s="6"/>
    </row>
    <row r="208" spans="3:9" x14ac:dyDescent="0.15">
      <c r="C208" s="6"/>
      <c r="D208" s="6"/>
      <c r="E208" s="6"/>
      <c r="F208" s="6"/>
      <c r="G208" s="6"/>
      <c r="H208" s="6"/>
      <c r="I208" s="6"/>
    </row>
    <row r="209" spans="3:9" x14ac:dyDescent="0.15">
      <c r="C209" s="6"/>
      <c r="D209" s="6"/>
      <c r="E209" s="6"/>
      <c r="F209" s="6"/>
      <c r="G209" s="6"/>
      <c r="H209" s="6"/>
      <c r="I209" s="6"/>
    </row>
    <row r="210" spans="3:9" x14ac:dyDescent="0.15">
      <c r="C210" s="6"/>
      <c r="D210" s="6"/>
      <c r="E210" s="6"/>
      <c r="F210" s="6"/>
      <c r="G210" s="6"/>
      <c r="H210" s="6"/>
      <c r="I210" s="6"/>
    </row>
    <row r="211" spans="3:9" x14ac:dyDescent="0.15">
      <c r="C211" s="6"/>
      <c r="D211" s="6"/>
      <c r="E211" s="6"/>
      <c r="F211" s="6"/>
      <c r="G211" s="6"/>
      <c r="H211" s="6"/>
      <c r="I211" s="6"/>
    </row>
    <row r="212" spans="3:9" x14ac:dyDescent="0.15">
      <c r="C212" s="6"/>
      <c r="D212" s="6"/>
      <c r="E212" s="6"/>
      <c r="F212" s="6"/>
      <c r="G212" s="6"/>
      <c r="H212" s="6"/>
      <c r="I212" s="6"/>
    </row>
    <row r="213" spans="3:9" x14ac:dyDescent="0.15">
      <c r="C213" s="6"/>
      <c r="D213" s="6"/>
      <c r="E213" s="6"/>
      <c r="F213" s="6"/>
      <c r="G213" s="6"/>
      <c r="H213" s="6"/>
      <c r="I213" s="6"/>
    </row>
    <row r="214" spans="3:9" x14ac:dyDescent="0.15">
      <c r="C214" s="6"/>
      <c r="D214" s="6"/>
      <c r="E214" s="6"/>
      <c r="F214" s="6"/>
      <c r="G214" s="6"/>
      <c r="H214" s="6"/>
      <c r="I214" s="6"/>
    </row>
    <row r="215" spans="3:9" x14ac:dyDescent="0.15">
      <c r="C215" s="6"/>
      <c r="D215" s="6"/>
      <c r="E215" s="6"/>
      <c r="F215" s="6"/>
      <c r="G215" s="6"/>
      <c r="H215" s="6"/>
      <c r="I215" s="6"/>
    </row>
    <row r="216" spans="3:9" x14ac:dyDescent="0.15">
      <c r="C216" s="6"/>
      <c r="D216" s="6"/>
      <c r="E216" s="6"/>
      <c r="F216" s="6"/>
      <c r="G216" s="6"/>
      <c r="H216" s="6"/>
      <c r="I216" s="6"/>
    </row>
    <row r="217" spans="3:9" x14ac:dyDescent="0.15">
      <c r="C217" s="6"/>
      <c r="D217" s="6"/>
      <c r="E217" s="6"/>
      <c r="F217" s="6"/>
      <c r="G217" s="6"/>
      <c r="H217" s="6"/>
      <c r="I217" s="6"/>
    </row>
    <row r="218" spans="3:9" x14ac:dyDescent="0.15">
      <c r="C218" s="6"/>
      <c r="D218" s="6"/>
      <c r="E218" s="6"/>
      <c r="F218" s="6"/>
      <c r="G218" s="6"/>
      <c r="H218" s="6"/>
      <c r="I218" s="6"/>
    </row>
    <row r="219" spans="3:9" x14ac:dyDescent="0.15">
      <c r="C219" s="6"/>
      <c r="D219" s="6"/>
      <c r="E219" s="6"/>
      <c r="F219" s="6"/>
      <c r="G219" s="6"/>
      <c r="H219" s="6"/>
      <c r="I219" s="6"/>
    </row>
    <row r="220" spans="3:9" x14ac:dyDescent="0.15">
      <c r="C220" s="6"/>
      <c r="D220" s="6"/>
      <c r="E220" s="6"/>
      <c r="F220" s="6"/>
      <c r="G220" s="6"/>
      <c r="H220" s="6"/>
      <c r="I220" s="6"/>
    </row>
    <row r="221" spans="3:9" x14ac:dyDescent="0.15">
      <c r="C221" s="6"/>
      <c r="D221" s="6"/>
      <c r="E221" s="6"/>
      <c r="F221" s="6"/>
      <c r="G221" s="6"/>
      <c r="H221" s="6"/>
      <c r="I221" s="6"/>
    </row>
    <row r="222" spans="3:9" x14ac:dyDescent="0.15">
      <c r="C222" s="6"/>
      <c r="D222" s="6"/>
      <c r="E222" s="6"/>
      <c r="F222" s="6"/>
      <c r="G222" s="6"/>
      <c r="H222" s="6"/>
      <c r="I222" s="6"/>
    </row>
    <row r="223" spans="3:9" x14ac:dyDescent="0.15">
      <c r="C223" s="6"/>
      <c r="D223" s="6"/>
      <c r="E223" s="6"/>
      <c r="F223" s="6"/>
      <c r="G223" s="6"/>
      <c r="H223" s="6"/>
      <c r="I223" s="6"/>
    </row>
    <row r="224" spans="3:9" x14ac:dyDescent="0.15">
      <c r="C224" s="6"/>
      <c r="D224" s="6"/>
      <c r="E224" s="6"/>
      <c r="F224" s="6"/>
      <c r="G224" s="6"/>
      <c r="H224" s="6"/>
      <c r="I224" s="6"/>
    </row>
    <row r="225" spans="3:9" x14ac:dyDescent="0.15">
      <c r="C225" s="6"/>
      <c r="D225" s="6"/>
      <c r="E225" s="6"/>
      <c r="F225" s="6"/>
      <c r="G225" s="6"/>
      <c r="H225" s="6"/>
      <c r="I225" s="6"/>
    </row>
    <row r="226" spans="3:9" x14ac:dyDescent="0.15">
      <c r="C226" s="6"/>
      <c r="D226" s="6"/>
      <c r="E226" s="6"/>
      <c r="F226" s="6"/>
      <c r="G226" s="6"/>
      <c r="H226" s="6"/>
      <c r="I226" s="6"/>
    </row>
    <row r="227" spans="3:9" x14ac:dyDescent="0.15">
      <c r="C227" s="6"/>
      <c r="D227" s="6"/>
      <c r="E227" s="6"/>
      <c r="F227" s="6"/>
      <c r="G227" s="6"/>
      <c r="H227" s="6"/>
      <c r="I227" s="6"/>
    </row>
    <row r="228" spans="3:9" x14ac:dyDescent="0.15">
      <c r="C228" s="6"/>
      <c r="D228" s="6"/>
      <c r="E228" s="6"/>
      <c r="F228" s="6"/>
      <c r="G228" s="6"/>
      <c r="H228" s="6"/>
      <c r="I228" s="6"/>
    </row>
    <row r="229" spans="3:9" x14ac:dyDescent="0.15">
      <c r="C229" s="6"/>
      <c r="D229" s="6"/>
      <c r="E229" s="6"/>
      <c r="F229" s="6"/>
      <c r="G229" s="6"/>
      <c r="H229" s="6"/>
      <c r="I229" s="6"/>
    </row>
    <row r="230" spans="3:9" x14ac:dyDescent="0.15">
      <c r="C230" s="6"/>
      <c r="D230" s="6"/>
      <c r="E230" s="6"/>
      <c r="F230" s="6"/>
      <c r="G230" s="6"/>
      <c r="H230" s="6"/>
      <c r="I230" s="6"/>
    </row>
    <row r="231" spans="3:9" x14ac:dyDescent="0.15">
      <c r="C231" s="6"/>
      <c r="D231" s="6"/>
      <c r="E231" s="6"/>
      <c r="F231" s="6"/>
      <c r="G231" s="6"/>
      <c r="H231" s="6"/>
      <c r="I231" s="6"/>
    </row>
    <row r="232" spans="3:9" x14ac:dyDescent="0.15">
      <c r="C232" s="6"/>
      <c r="D232" s="6"/>
      <c r="E232" s="6"/>
      <c r="F232" s="6"/>
      <c r="G232" s="6"/>
      <c r="H232" s="6"/>
      <c r="I232" s="6"/>
    </row>
    <row r="233" spans="3:9" x14ac:dyDescent="0.15">
      <c r="C233" s="6"/>
      <c r="D233" s="6"/>
      <c r="E233" s="6"/>
      <c r="F233" s="6"/>
      <c r="G233" s="6"/>
      <c r="H233" s="6"/>
      <c r="I233" s="6"/>
    </row>
    <row r="234" spans="3:9" x14ac:dyDescent="0.15">
      <c r="C234" s="6"/>
      <c r="D234" s="6"/>
      <c r="E234" s="6"/>
      <c r="F234" s="6"/>
      <c r="G234" s="6"/>
      <c r="H234" s="6"/>
      <c r="I234" s="6"/>
    </row>
    <row r="235" spans="3:9" x14ac:dyDescent="0.15">
      <c r="C235" s="6"/>
      <c r="D235" s="6"/>
      <c r="E235" s="6"/>
      <c r="F235" s="6"/>
      <c r="G235" s="6"/>
      <c r="H235" s="6"/>
      <c r="I235" s="6"/>
    </row>
    <row r="236" spans="3:9" x14ac:dyDescent="0.15">
      <c r="C236" s="6"/>
      <c r="D236" s="6"/>
      <c r="E236" s="6"/>
      <c r="F236" s="6"/>
      <c r="G236" s="6"/>
      <c r="H236" s="6"/>
      <c r="I236" s="6"/>
    </row>
    <row r="237" spans="3:9" x14ac:dyDescent="0.15">
      <c r="C237" s="6"/>
      <c r="D237" s="6"/>
      <c r="E237" s="6"/>
      <c r="F237" s="6"/>
      <c r="G237" s="6"/>
      <c r="H237" s="6"/>
      <c r="I237" s="6"/>
    </row>
    <row r="238" spans="3:9" x14ac:dyDescent="0.15">
      <c r="C238" s="6"/>
      <c r="D238" s="6"/>
      <c r="E238" s="6"/>
      <c r="F238" s="6"/>
      <c r="G238" s="6"/>
      <c r="H238" s="6"/>
      <c r="I238" s="6"/>
    </row>
    <row r="239" spans="3:9" x14ac:dyDescent="0.15">
      <c r="C239" s="6"/>
      <c r="D239" s="6"/>
      <c r="E239" s="6"/>
      <c r="F239" s="6"/>
      <c r="G239" s="6"/>
      <c r="H239" s="6"/>
      <c r="I239" s="6"/>
    </row>
    <row r="240" spans="3:9" x14ac:dyDescent="0.15">
      <c r="C240" s="6"/>
      <c r="D240" s="6"/>
      <c r="E240" s="6"/>
      <c r="F240" s="6"/>
      <c r="G240" s="6"/>
      <c r="H240" s="6"/>
      <c r="I240" s="6"/>
    </row>
    <row r="241" spans="3:9" x14ac:dyDescent="0.15">
      <c r="C241" s="6"/>
      <c r="D241" s="6"/>
      <c r="E241" s="6"/>
      <c r="F241" s="6"/>
      <c r="G241" s="6"/>
      <c r="H241" s="6"/>
      <c r="I241" s="6"/>
    </row>
    <row r="242" spans="3:9" x14ac:dyDescent="0.15">
      <c r="C242" s="6"/>
      <c r="D242" s="6"/>
      <c r="E242" s="6"/>
      <c r="F242" s="6"/>
      <c r="G242" s="6"/>
      <c r="H242" s="6"/>
      <c r="I242" s="6"/>
    </row>
    <row r="243" spans="3:9" x14ac:dyDescent="0.15">
      <c r="C243" s="6"/>
      <c r="D243" s="6"/>
      <c r="E243" s="6"/>
      <c r="F243" s="6"/>
      <c r="G243" s="6"/>
      <c r="H243" s="6"/>
      <c r="I243" s="6"/>
    </row>
    <row r="244" spans="3:9" x14ac:dyDescent="0.15">
      <c r="C244" s="6"/>
      <c r="D244" s="6"/>
      <c r="E244" s="6"/>
      <c r="F244" s="6"/>
      <c r="G244" s="6"/>
      <c r="H244" s="6"/>
      <c r="I244" s="6"/>
    </row>
    <row r="245" spans="3:9" x14ac:dyDescent="0.15">
      <c r="C245" s="6"/>
      <c r="D245" s="6"/>
      <c r="E245" s="6"/>
      <c r="F245" s="6"/>
      <c r="G245" s="6"/>
      <c r="H245" s="6"/>
      <c r="I245" s="6"/>
    </row>
    <row r="246" spans="3:9" x14ac:dyDescent="0.15">
      <c r="C246" s="6"/>
      <c r="D246" s="6"/>
      <c r="E246" s="6"/>
      <c r="F246" s="6"/>
      <c r="G246" s="6"/>
      <c r="H246" s="6"/>
      <c r="I246" s="6"/>
    </row>
    <row r="247" spans="3:9" x14ac:dyDescent="0.15">
      <c r="C247" s="6"/>
      <c r="D247" s="6"/>
      <c r="E247" s="6"/>
      <c r="F247" s="6"/>
      <c r="G247" s="6"/>
      <c r="H247" s="6"/>
      <c r="I247" s="6"/>
    </row>
    <row r="248" spans="3:9" x14ac:dyDescent="0.15">
      <c r="C248" s="6"/>
      <c r="D248" s="6"/>
      <c r="E248" s="6"/>
      <c r="F248" s="6"/>
      <c r="G248" s="6"/>
      <c r="H248" s="6"/>
      <c r="I248" s="6"/>
    </row>
    <row r="249" spans="3:9" x14ac:dyDescent="0.15">
      <c r="C249" s="6"/>
      <c r="D249" s="6"/>
      <c r="E249" s="6"/>
      <c r="F249" s="6"/>
      <c r="G249" s="6"/>
      <c r="H249" s="6"/>
      <c r="I249" s="6"/>
    </row>
    <row r="250" spans="3:9" x14ac:dyDescent="0.15">
      <c r="C250" s="6"/>
      <c r="D250" s="6"/>
      <c r="E250" s="6"/>
      <c r="F250" s="6"/>
      <c r="G250" s="6"/>
      <c r="H250" s="6"/>
      <c r="I250" s="6"/>
    </row>
    <row r="251" spans="3:9" x14ac:dyDescent="0.15">
      <c r="C251" s="6"/>
      <c r="D251" s="6"/>
      <c r="E251" s="6"/>
      <c r="F251" s="6"/>
      <c r="G251" s="6"/>
      <c r="H251" s="6"/>
      <c r="I251" s="6"/>
    </row>
    <row r="252" spans="3:9" x14ac:dyDescent="0.15">
      <c r="C252" s="6"/>
      <c r="D252" s="6"/>
      <c r="E252" s="6"/>
      <c r="F252" s="6"/>
      <c r="G252" s="6"/>
      <c r="H252" s="6"/>
      <c r="I252" s="6"/>
    </row>
    <row r="253" spans="3:9" x14ac:dyDescent="0.15">
      <c r="C253" s="6"/>
      <c r="D253" s="6"/>
      <c r="E253" s="6"/>
      <c r="F253" s="6"/>
      <c r="G253" s="6"/>
      <c r="H253" s="6"/>
      <c r="I253" s="6"/>
    </row>
    <row r="254" spans="3:9" x14ac:dyDescent="0.15">
      <c r="C254" s="6"/>
      <c r="D254" s="6"/>
      <c r="E254" s="6"/>
      <c r="F254" s="6"/>
      <c r="G254" s="6"/>
      <c r="H254" s="6"/>
      <c r="I254" s="6"/>
    </row>
    <row r="255" spans="3:9" x14ac:dyDescent="0.15">
      <c r="C255" s="6"/>
      <c r="D255" s="6"/>
      <c r="E255" s="6"/>
      <c r="F255" s="6"/>
      <c r="G255" s="6"/>
      <c r="H255" s="6"/>
      <c r="I255" s="6"/>
    </row>
    <row r="256" spans="3:9" x14ac:dyDescent="0.15">
      <c r="C256" s="6"/>
      <c r="D256" s="6"/>
      <c r="E256" s="6"/>
      <c r="F256" s="6"/>
      <c r="G256" s="6"/>
      <c r="H256" s="6"/>
      <c r="I256" s="6"/>
    </row>
    <row r="257" spans="3:9" x14ac:dyDescent="0.15">
      <c r="C257" s="6"/>
      <c r="D257" s="6"/>
      <c r="E257" s="6"/>
      <c r="F257" s="6"/>
      <c r="G257" s="6"/>
      <c r="H257" s="6"/>
      <c r="I257" s="6"/>
    </row>
    <row r="258" spans="3:9" x14ac:dyDescent="0.15">
      <c r="C258" s="6"/>
      <c r="D258" s="6"/>
      <c r="E258" s="6"/>
      <c r="F258" s="6"/>
      <c r="G258" s="6"/>
      <c r="H258" s="6"/>
      <c r="I258" s="6"/>
    </row>
    <row r="259" spans="3:9" x14ac:dyDescent="0.15">
      <c r="C259" s="6"/>
      <c r="D259" s="6"/>
      <c r="E259" s="6"/>
      <c r="F259" s="6"/>
      <c r="G259" s="6"/>
      <c r="H259" s="6"/>
      <c r="I259" s="6"/>
    </row>
    <row r="260" spans="3:9" x14ac:dyDescent="0.15">
      <c r="C260" s="6"/>
      <c r="D260" s="6"/>
      <c r="E260" s="6"/>
      <c r="F260" s="6"/>
      <c r="G260" s="6"/>
      <c r="H260" s="6"/>
      <c r="I260" s="6"/>
    </row>
    <row r="261" spans="3:9" x14ac:dyDescent="0.15">
      <c r="C261" s="6"/>
      <c r="D261" s="6"/>
      <c r="E261" s="6"/>
      <c r="F261" s="6"/>
      <c r="G261" s="6"/>
      <c r="H261" s="6"/>
      <c r="I261" s="6"/>
    </row>
    <row r="262" spans="3:9" x14ac:dyDescent="0.15">
      <c r="C262" s="6"/>
      <c r="D262" s="6"/>
      <c r="E262" s="6"/>
      <c r="F262" s="6"/>
      <c r="G262" s="6"/>
      <c r="H262" s="6"/>
      <c r="I262" s="6"/>
    </row>
    <row r="263" spans="3:9" x14ac:dyDescent="0.15">
      <c r="C263" s="6"/>
      <c r="D263" s="6"/>
      <c r="E263" s="6"/>
      <c r="F263" s="6"/>
      <c r="G263" s="6"/>
      <c r="H263" s="6"/>
      <c r="I263" s="6"/>
    </row>
    <row r="264" spans="3:9" x14ac:dyDescent="0.15">
      <c r="C264" s="6"/>
      <c r="D264" s="6"/>
      <c r="E264" s="6"/>
      <c r="F264" s="6"/>
      <c r="G264" s="6"/>
      <c r="H264" s="6"/>
      <c r="I264" s="6"/>
    </row>
    <row r="265" spans="3:9" x14ac:dyDescent="0.15">
      <c r="C265" s="6"/>
      <c r="D265" s="6"/>
      <c r="E265" s="6"/>
      <c r="F265" s="6"/>
      <c r="G265" s="6"/>
      <c r="H265" s="6"/>
      <c r="I265" s="6"/>
    </row>
    <row r="266" spans="3:9" x14ac:dyDescent="0.15">
      <c r="C266" s="6"/>
      <c r="D266" s="6"/>
      <c r="E266" s="6"/>
      <c r="F266" s="6"/>
      <c r="G266" s="6"/>
      <c r="H266" s="6"/>
      <c r="I266" s="6"/>
    </row>
    <row r="267" spans="3:9" x14ac:dyDescent="0.15">
      <c r="C267" s="6"/>
      <c r="D267" s="6"/>
      <c r="E267" s="6"/>
      <c r="F267" s="6"/>
      <c r="G267" s="6"/>
      <c r="H267" s="6"/>
      <c r="I267" s="6"/>
    </row>
    <row r="268" spans="3:9" x14ac:dyDescent="0.15">
      <c r="C268" s="6"/>
      <c r="D268" s="6"/>
      <c r="E268" s="6"/>
      <c r="F268" s="6"/>
      <c r="G268" s="6"/>
      <c r="H268" s="6"/>
      <c r="I268" s="6"/>
    </row>
    <row r="269" spans="3:9" x14ac:dyDescent="0.15">
      <c r="C269" s="6"/>
      <c r="D269" s="6"/>
      <c r="E269" s="6"/>
      <c r="F269" s="6"/>
      <c r="G269" s="6"/>
      <c r="H269" s="6"/>
      <c r="I269" s="6"/>
    </row>
    <row r="270" spans="3:9" x14ac:dyDescent="0.15">
      <c r="C270" s="6"/>
      <c r="D270" s="6"/>
      <c r="E270" s="6"/>
      <c r="F270" s="6"/>
      <c r="G270" s="6"/>
      <c r="H270" s="6"/>
      <c r="I270" s="6"/>
    </row>
    <row r="271" spans="3:9" x14ac:dyDescent="0.15">
      <c r="C271" s="6"/>
      <c r="D271" s="6"/>
      <c r="E271" s="6"/>
      <c r="F271" s="6"/>
      <c r="G271" s="6"/>
      <c r="H271" s="6"/>
      <c r="I271" s="6"/>
    </row>
    <row r="272" spans="3:9" x14ac:dyDescent="0.15">
      <c r="C272" s="6"/>
      <c r="D272" s="6"/>
      <c r="E272" s="6"/>
      <c r="F272" s="6"/>
      <c r="G272" s="6"/>
      <c r="H272" s="6"/>
      <c r="I272" s="6"/>
    </row>
    <row r="273" spans="3:9" x14ac:dyDescent="0.15">
      <c r="C273" s="6"/>
      <c r="D273" s="6"/>
      <c r="E273" s="6"/>
      <c r="F273" s="6"/>
      <c r="G273" s="6"/>
      <c r="H273" s="6"/>
      <c r="I273" s="6"/>
    </row>
    <row r="274" spans="3:9" x14ac:dyDescent="0.15">
      <c r="C274" s="6"/>
      <c r="D274" s="6"/>
      <c r="E274" s="6"/>
      <c r="F274" s="6"/>
      <c r="G274" s="6"/>
      <c r="H274" s="6"/>
      <c r="I274" s="6"/>
    </row>
    <row r="275" spans="3:9" x14ac:dyDescent="0.15">
      <c r="C275" s="6"/>
      <c r="D275" s="6"/>
      <c r="E275" s="6"/>
      <c r="F275" s="6"/>
      <c r="G275" s="6"/>
      <c r="H275" s="6"/>
      <c r="I275" s="6"/>
    </row>
    <row r="276" spans="3:9" x14ac:dyDescent="0.15">
      <c r="C276" s="6"/>
      <c r="D276" s="6"/>
      <c r="E276" s="6"/>
      <c r="F276" s="6"/>
      <c r="G276" s="6"/>
      <c r="H276" s="6"/>
      <c r="I276" s="6"/>
    </row>
    <row r="277" spans="3:9" x14ac:dyDescent="0.15">
      <c r="C277" s="6"/>
      <c r="D277" s="6"/>
      <c r="E277" s="6"/>
      <c r="F277" s="6"/>
      <c r="G277" s="6"/>
      <c r="H277" s="6"/>
      <c r="I277" s="6"/>
    </row>
    <row r="278" spans="3:9" x14ac:dyDescent="0.15">
      <c r="C278" s="6"/>
      <c r="D278" s="6"/>
      <c r="E278" s="6"/>
      <c r="F278" s="6"/>
      <c r="G278" s="6"/>
      <c r="H278" s="6"/>
      <c r="I278" s="6"/>
    </row>
    <row r="279" spans="3:9" x14ac:dyDescent="0.15">
      <c r="C279" s="6"/>
      <c r="D279" s="6"/>
      <c r="E279" s="6"/>
      <c r="F279" s="6"/>
      <c r="G279" s="6"/>
      <c r="H279" s="6"/>
      <c r="I279" s="6"/>
    </row>
    <row r="280" spans="3:9" x14ac:dyDescent="0.15">
      <c r="C280" s="6"/>
      <c r="D280" s="6"/>
      <c r="E280" s="6"/>
      <c r="F280" s="6"/>
      <c r="G280" s="6"/>
      <c r="H280" s="6"/>
      <c r="I280" s="6"/>
    </row>
    <row r="281" spans="3:9" x14ac:dyDescent="0.15">
      <c r="C281" s="6"/>
      <c r="D281" s="6"/>
      <c r="E281" s="6"/>
      <c r="F281" s="6"/>
      <c r="G281" s="6"/>
      <c r="H281" s="6"/>
      <c r="I281" s="6"/>
    </row>
    <row r="282" spans="3:9" x14ac:dyDescent="0.15">
      <c r="C282" s="6"/>
      <c r="D282" s="6"/>
      <c r="E282" s="6"/>
      <c r="F282" s="6"/>
      <c r="G282" s="6"/>
      <c r="H282" s="6"/>
      <c r="I282" s="6"/>
    </row>
    <row r="283" spans="3:9" x14ac:dyDescent="0.15">
      <c r="C283" s="6"/>
      <c r="D283" s="6"/>
      <c r="E283" s="6"/>
      <c r="F283" s="6"/>
      <c r="G283" s="6"/>
      <c r="H283" s="6"/>
      <c r="I283" s="6"/>
    </row>
    <row r="284" spans="3:9" x14ac:dyDescent="0.15">
      <c r="C284" s="6"/>
      <c r="D284" s="6"/>
      <c r="E284" s="6"/>
      <c r="F284" s="6"/>
      <c r="G284" s="6"/>
      <c r="H284" s="6"/>
      <c r="I284" s="6"/>
    </row>
    <row r="285" spans="3:9" x14ac:dyDescent="0.15">
      <c r="C285" s="6"/>
      <c r="D285" s="6"/>
      <c r="E285" s="6"/>
      <c r="F285" s="6"/>
      <c r="G285" s="6"/>
      <c r="H285" s="6"/>
      <c r="I285" s="6"/>
    </row>
    <row r="286" spans="3:9" x14ac:dyDescent="0.15">
      <c r="C286" s="6"/>
      <c r="D286" s="6"/>
      <c r="E286" s="6"/>
      <c r="F286" s="6"/>
      <c r="G286" s="6"/>
      <c r="H286" s="6"/>
      <c r="I286" s="6"/>
    </row>
    <row r="287" spans="3:9" x14ac:dyDescent="0.15">
      <c r="C287" s="6"/>
      <c r="D287" s="6"/>
      <c r="E287" s="6"/>
      <c r="F287" s="6"/>
      <c r="G287" s="6"/>
      <c r="H287" s="6"/>
      <c r="I287" s="6"/>
    </row>
    <row r="288" spans="3:9" x14ac:dyDescent="0.15">
      <c r="C288" s="6"/>
      <c r="D288" s="6"/>
      <c r="E288" s="6"/>
      <c r="F288" s="6"/>
      <c r="G288" s="6"/>
      <c r="H288" s="6"/>
      <c r="I288" s="6"/>
    </row>
    <row r="289" spans="3:9" x14ac:dyDescent="0.15">
      <c r="C289" s="6"/>
      <c r="D289" s="6"/>
      <c r="E289" s="6"/>
      <c r="F289" s="6"/>
      <c r="G289" s="6"/>
      <c r="H289" s="6"/>
      <c r="I289" s="6"/>
    </row>
    <row r="290" spans="3:9" x14ac:dyDescent="0.15">
      <c r="C290" s="6"/>
      <c r="D290" s="6"/>
      <c r="E290" s="6"/>
      <c r="F290" s="6"/>
      <c r="G290" s="6"/>
      <c r="H290" s="6"/>
      <c r="I290" s="6"/>
    </row>
    <row r="291" spans="3:9" x14ac:dyDescent="0.15">
      <c r="C291" s="6"/>
      <c r="D291" s="6"/>
      <c r="E291" s="6"/>
      <c r="F291" s="6"/>
      <c r="G291" s="6"/>
      <c r="H291" s="6"/>
      <c r="I291" s="6"/>
    </row>
    <row r="292" spans="3:9" x14ac:dyDescent="0.15">
      <c r="C292" s="6"/>
      <c r="D292" s="6"/>
      <c r="E292" s="6"/>
      <c r="F292" s="6"/>
      <c r="G292" s="6"/>
      <c r="H292" s="6"/>
      <c r="I292" s="6"/>
    </row>
    <row r="293" spans="3:9" x14ac:dyDescent="0.15">
      <c r="C293" s="6"/>
      <c r="D293" s="6"/>
      <c r="E293" s="6"/>
      <c r="F293" s="6"/>
      <c r="G293" s="6"/>
      <c r="H293" s="6"/>
      <c r="I293" s="6"/>
    </row>
    <row r="294" spans="3:9" x14ac:dyDescent="0.15">
      <c r="C294" s="6"/>
      <c r="D294" s="6"/>
      <c r="E294" s="6"/>
      <c r="F294" s="6"/>
      <c r="G294" s="6"/>
      <c r="H294" s="6"/>
      <c r="I294" s="6"/>
    </row>
    <row r="295" spans="3:9" x14ac:dyDescent="0.15">
      <c r="C295" s="6"/>
      <c r="D295" s="6"/>
      <c r="E295" s="6"/>
      <c r="F295" s="6"/>
      <c r="G295" s="6"/>
      <c r="H295" s="6"/>
      <c r="I295" s="6"/>
    </row>
    <row r="296" spans="3:9" x14ac:dyDescent="0.15">
      <c r="C296" s="6"/>
      <c r="D296" s="6"/>
      <c r="E296" s="6"/>
      <c r="F296" s="6"/>
      <c r="G296" s="6"/>
      <c r="H296" s="6"/>
      <c r="I296" s="6"/>
    </row>
    <row r="297" spans="3:9" x14ac:dyDescent="0.15">
      <c r="C297" s="6"/>
      <c r="D297" s="6"/>
      <c r="E297" s="6"/>
      <c r="F297" s="6"/>
      <c r="G297" s="6"/>
      <c r="H297" s="6"/>
      <c r="I297" s="6"/>
    </row>
    <row r="298" spans="3:9" x14ac:dyDescent="0.15">
      <c r="C298" s="6"/>
      <c r="D298" s="6"/>
      <c r="E298" s="6"/>
      <c r="F298" s="6"/>
      <c r="G298" s="6"/>
      <c r="H298" s="6"/>
      <c r="I298" s="6"/>
    </row>
    <row r="299" spans="3:9" x14ac:dyDescent="0.15">
      <c r="C299" s="6"/>
      <c r="D299" s="6"/>
      <c r="E299" s="6"/>
      <c r="F299" s="6"/>
      <c r="G299" s="6"/>
      <c r="H299" s="6"/>
      <c r="I299" s="6"/>
    </row>
    <row r="300" spans="3:9" x14ac:dyDescent="0.15">
      <c r="C300" s="6"/>
      <c r="D300" s="6"/>
      <c r="E300" s="6"/>
      <c r="F300" s="6"/>
      <c r="G300" s="6"/>
      <c r="H300" s="6"/>
      <c r="I300" s="6"/>
    </row>
    <row r="301" spans="3:9" x14ac:dyDescent="0.15">
      <c r="C301" s="6"/>
      <c r="D301" s="6"/>
      <c r="E301" s="6"/>
      <c r="F301" s="6"/>
      <c r="G301" s="6"/>
      <c r="H301" s="6"/>
      <c r="I301" s="6"/>
    </row>
    <row r="302" spans="3:9" x14ac:dyDescent="0.15">
      <c r="C302" s="6"/>
      <c r="D302" s="6"/>
      <c r="E302" s="6"/>
      <c r="F302" s="6"/>
      <c r="G302" s="6"/>
      <c r="H302" s="6"/>
      <c r="I302" s="6"/>
    </row>
    <row r="303" spans="3:9" x14ac:dyDescent="0.15">
      <c r="C303" s="6"/>
      <c r="D303" s="6"/>
      <c r="E303" s="6"/>
      <c r="F303" s="6"/>
      <c r="G303" s="6"/>
      <c r="H303" s="6"/>
      <c r="I303" s="6"/>
    </row>
    <row r="304" spans="3:9" x14ac:dyDescent="0.15">
      <c r="C304" s="6"/>
      <c r="D304" s="6"/>
      <c r="E304" s="6"/>
      <c r="F304" s="6"/>
      <c r="G304" s="6"/>
      <c r="H304" s="6"/>
      <c r="I304" s="6"/>
    </row>
    <row r="305" spans="3:9" x14ac:dyDescent="0.15">
      <c r="C305" s="6"/>
      <c r="D305" s="6"/>
      <c r="E305" s="6"/>
      <c r="F305" s="6"/>
      <c r="G305" s="6"/>
      <c r="H305" s="6"/>
      <c r="I305" s="6"/>
    </row>
    <row r="306" spans="3:9" x14ac:dyDescent="0.15">
      <c r="C306" s="6"/>
      <c r="D306" s="6"/>
      <c r="E306" s="6"/>
      <c r="F306" s="6"/>
      <c r="G306" s="6"/>
      <c r="H306" s="6"/>
      <c r="I306" s="6"/>
    </row>
    <row r="307" spans="3:9" x14ac:dyDescent="0.15">
      <c r="C307" s="6"/>
      <c r="D307" s="6"/>
      <c r="E307" s="6"/>
      <c r="F307" s="6"/>
      <c r="G307" s="6"/>
      <c r="H307" s="6"/>
      <c r="I307" s="6"/>
    </row>
    <row r="308" spans="3:9" x14ac:dyDescent="0.15">
      <c r="C308" s="6"/>
      <c r="D308" s="6"/>
      <c r="E308" s="6"/>
      <c r="F308" s="6"/>
      <c r="G308" s="6"/>
      <c r="H308" s="6"/>
      <c r="I308" s="6"/>
    </row>
    <row r="309" spans="3:9" x14ac:dyDescent="0.15">
      <c r="C309" s="6"/>
      <c r="D309" s="6"/>
      <c r="E309" s="6"/>
      <c r="F309" s="6"/>
      <c r="G309" s="6"/>
      <c r="H309" s="6"/>
      <c r="I309" s="6"/>
    </row>
    <row r="310" spans="3:9" x14ac:dyDescent="0.15">
      <c r="C310" s="6"/>
      <c r="D310" s="6"/>
      <c r="E310" s="6"/>
      <c r="F310" s="6"/>
      <c r="G310" s="6"/>
      <c r="H310" s="6"/>
      <c r="I310" s="6"/>
    </row>
    <row r="311" spans="3:9" x14ac:dyDescent="0.15">
      <c r="C311" s="6"/>
      <c r="D311" s="6"/>
      <c r="E311" s="6"/>
      <c r="F311" s="6"/>
      <c r="G311" s="6"/>
      <c r="H311" s="6"/>
      <c r="I311" s="6"/>
    </row>
    <row r="312" spans="3:9" x14ac:dyDescent="0.15">
      <c r="C312" s="6"/>
      <c r="D312" s="6"/>
      <c r="E312" s="6"/>
      <c r="F312" s="6"/>
      <c r="G312" s="6"/>
      <c r="H312" s="6"/>
      <c r="I312" s="6"/>
    </row>
    <row r="313" spans="3:9" x14ac:dyDescent="0.15">
      <c r="C313" s="6"/>
      <c r="D313" s="6"/>
      <c r="E313" s="6"/>
      <c r="F313" s="6"/>
      <c r="G313" s="6"/>
      <c r="H313" s="6"/>
      <c r="I313" s="6"/>
    </row>
    <row r="314" spans="3:9" x14ac:dyDescent="0.15">
      <c r="C314" s="6"/>
      <c r="D314" s="6"/>
      <c r="E314" s="6"/>
      <c r="F314" s="6"/>
      <c r="G314" s="6"/>
      <c r="H314" s="6"/>
      <c r="I314" s="6"/>
    </row>
    <row r="315" spans="3:9" x14ac:dyDescent="0.15">
      <c r="C315" s="6"/>
      <c r="D315" s="6"/>
      <c r="E315" s="6"/>
      <c r="F315" s="6"/>
      <c r="G315" s="6"/>
      <c r="H315" s="6"/>
      <c r="I315" s="6"/>
    </row>
    <row r="316" spans="3:9" x14ac:dyDescent="0.15">
      <c r="C316" s="6"/>
      <c r="D316" s="6"/>
      <c r="E316" s="6"/>
      <c r="F316" s="6"/>
      <c r="G316" s="6"/>
      <c r="H316" s="6"/>
      <c r="I316" s="6"/>
    </row>
    <row r="317" spans="3:9" x14ac:dyDescent="0.15">
      <c r="C317" s="6"/>
      <c r="D317" s="6"/>
      <c r="E317" s="6"/>
      <c r="F317" s="6"/>
      <c r="G317" s="6"/>
      <c r="H317" s="6"/>
      <c r="I317" s="6"/>
    </row>
    <row r="318" spans="3:9" x14ac:dyDescent="0.15">
      <c r="C318" s="6"/>
      <c r="D318" s="6"/>
      <c r="E318" s="6"/>
      <c r="F318" s="6"/>
      <c r="G318" s="6"/>
      <c r="H318" s="6"/>
      <c r="I318" s="6"/>
    </row>
    <row r="319" spans="3:9" x14ac:dyDescent="0.15">
      <c r="C319" s="6"/>
      <c r="D319" s="6"/>
      <c r="E319" s="6"/>
      <c r="F319" s="6"/>
      <c r="G319" s="6"/>
      <c r="H319" s="6"/>
      <c r="I319" s="6"/>
    </row>
    <row r="320" spans="3:9" x14ac:dyDescent="0.15">
      <c r="C320" s="6"/>
      <c r="D320" s="6"/>
      <c r="E320" s="6"/>
      <c r="F320" s="6"/>
      <c r="G320" s="6"/>
      <c r="H320" s="6"/>
      <c r="I320" s="6"/>
    </row>
    <row r="321" spans="3:9" x14ac:dyDescent="0.15">
      <c r="C321" s="6"/>
      <c r="D321" s="6"/>
      <c r="E321" s="6"/>
      <c r="F321" s="6"/>
      <c r="G321" s="6"/>
      <c r="H321" s="6"/>
      <c r="I321" s="6"/>
    </row>
    <row r="322" spans="3:9" x14ac:dyDescent="0.15">
      <c r="C322" s="6"/>
      <c r="D322" s="6"/>
      <c r="E322" s="6"/>
      <c r="F322" s="6"/>
      <c r="G322" s="6"/>
      <c r="H322" s="6"/>
      <c r="I322" s="6"/>
    </row>
    <row r="323" spans="3:9" x14ac:dyDescent="0.15">
      <c r="C323" s="6"/>
      <c r="D323" s="6"/>
      <c r="E323" s="6"/>
      <c r="F323" s="6"/>
      <c r="G323" s="6"/>
      <c r="H323" s="6"/>
      <c r="I323" s="6"/>
    </row>
    <row r="324" spans="3:9" x14ac:dyDescent="0.15">
      <c r="C324" s="6"/>
      <c r="D324" s="6"/>
      <c r="E324" s="6"/>
      <c r="F324" s="6"/>
      <c r="G324" s="6"/>
      <c r="H324" s="6"/>
      <c r="I324" s="6"/>
    </row>
    <row r="325" spans="3:9" x14ac:dyDescent="0.15">
      <c r="C325" s="6"/>
      <c r="D325" s="6"/>
      <c r="E325" s="6"/>
      <c r="F325" s="6"/>
      <c r="G325" s="6"/>
      <c r="H325" s="6"/>
      <c r="I325" s="6"/>
    </row>
    <row r="326" spans="3:9" x14ac:dyDescent="0.15">
      <c r="C326" s="6"/>
      <c r="D326" s="6"/>
      <c r="E326" s="6"/>
      <c r="F326" s="6"/>
      <c r="G326" s="6"/>
      <c r="H326" s="6"/>
      <c r="I326" s="6"/>
    </row>
    <row r="327" spans="3:9" x14ac:dyDescent="0.15">
      <c r="C327" s="6"/>
      <c r="D327" s="6"/>
      <c r="E327" s="6"/>
      <c r="F327" s="6"/>
      <c r="G327" s="6"/>
      <c r="H327" s="6"/>
      <c r="I327" s="6"/>
    </row>
    <row r="328" spans="3:9" x14ac:dyDescent="0.15">
      <c r="C328" s="6"/>
      <c r="D328" s="6"/>
      <c r="E328" s="6"/>
      <c r="F328" s="6"/>
      <c r="G328" s="6"/>
      <c r="H328" s="6"/>
      <c r="I328" s="6"/>
    </row>
    <row r="329" spans="3:9" x14ac:dyDescent="0.15">
      <c r="C329" s="6"/>
      <c r="D329" s="6"/>
      <c r="E329" s="6"/>
      <c r="F329" s="6"/>
      <c r="G329" s="6"/>
      <c r="H329" s="6"/>
      <c r="I329" s="6"/>
    </row>
    <row r="330" spans="3:9" x14ac:dyDescent="0.15">
      <c r="C330" s="6"/>
      <c r="D330" s="6"/>
      <c r="E330" s="6"/>
      <c r="F330" s="6"/>
      <c r="G330" s="6"/>
      <c r="H330" s="6"/>
      <c r="I330" s="6"/>
    </row>
    <row r="331" spans="3:9" x14ac:dyDescent="0.15">
      <c r="C331" s="6"/>
      <c r="D331" s="6"/>
      <c r="E331" s="6"/>
      <c r="F331" s="6"/>
      <c r="G331" s="6"/>
      <c r="H331" s="6"/>
      <c r="I331" s="6"/>
    </row>
    <row r="332" spans="3:9" x14ac:dyDescent="0.15">
      <c r="C332" s="6"/>
      <c r="D332" s="6"/>
      <c r="E332" s="6"/>
      <c r="F332" s="6"/>
      <c r="G332" s="6"/>
      <c r="H332" s="6"/>
      <c r="I332" s="6"/>
    </row>
    <row r="333" spans="3:9" x14ac:dyDescent="0.15">
      <c r="C333" s="6"/>
      <c r="D333" s="6"/>
      <c r="E333" s="6"/>
      <c r="F333" s="6"/>
      <c r="G333" s="6"/>
      <c r="H333" s="6"/>
      <c r="I333" s="6"/>
    </row>
    <row r="334" spans="3:9" x14ac:dyDescent="0.15">
      <c r="C334" s="6"/>
      <c r="D334" s="6"/>
      <c r="E334" s="6"/>
      <c r="F334" s="6"/>
      <c r="G334" s="6"/>
      <c r="H334" s="6"/>
      <c r="I334" s="6"/>
    </row>
    <row r="335" spans="3:9" x14ac:dyDescent="0.15">
      <c r="C335" s="6"/>
      <c r="D335" s="6"/>
      <c r="E335" s="6"/>
      <c r="F335" s="6"/>
      <c r="G335" s="6"/>
      <c r="H335" s="6"/>
      <c r="I335" s="6"/>
    </row>
    <row r="336" spans="3:9" x14ac:dyDescent="0.15">
      <c r="C336" s="6"/>
      <c r="D336" s="6"/>
      <c r="E336" s="6"/>
      <c r="F336" s="6"/>
      <c r="G336" s="6"/>
      <c r="H336" s="6"/>
      <c r="I336" s="6"/>
    </row>
    <row r="337" spans="3:9" x14ac:dyDescent="0.15">
      <c r="C337" s="6"/>
      <c r="D337" s="6"/>
      <c r="E337" s="6"/>
      <c r="F337" s="6"/>
      <c r="G337" s="6"/>
      <c r="H337" s="6"/>
      <c r="I337" s="6"/>
    </row>
    <row r="338" spans="3:9" x14ac:dyDescent="0.15">
      <c r="C338" s="6"/>
      <c r="D338" s="6"/>
      <c r="E338" s="6"/>
      <c r="F338" s="6"/>
      <c r="G338" s="6"/>
      <c r="H338" s="6"/>
      <c r="I338" s="6"/>
    </row>
    <row r="339" spans="3:9" x14ac:dyDescent="0.15">
      <c r="C339" s="6"/>
      <c r="D339" s="6"/>
      <c r="E339" s="6"/>
      <c r="F339" s="6"/>
      <c r="G339" s="6"/>
      <c r="H339" s="6"/>
      <c r="I339" s="6"/>
    </row>
    <row r="340" spans="3:9" x14ac:dyDescent="0.15">
      <c r="C340" s="6"/>
      <c r="D340" s="6"/>
      <c r="E340" s="6"/>
      <c r="F340" s="6"/>
      <c r="G340" s="6"/>
      <c r="H340" s="6"/>
      <c r="I340" s="6"/>
    </row>
    <row r="341" spans="3:9" x14ac:dyDescent="0.15">
      <c r="C341" s="6"/>
      <c r="D341" s="6"/>
      <c r="E341" s="6"/>
      <c r="F341" s="6"/>
      <c r="G341" s="6"/>
      <c r="H341" s="6"/>
      <c r="I341" s="6"/>
    </row>
    <row r="342" spans="3:9" x14ac:dyDescent="0.15">
      <c r="C342" s="6"/>
      <c r="D342" s="6"/>
      <c r="E342" s="6"/>
      <c r="F342" s="6"/>
      <c r="G342" s="6"/>
      <c r="H342" s="6"/>
      <c r="I342" s="6"/>
    </row>
    <row r="343" spans="3:9" x14ac:dyDescent="0.15">
      <c r="C343" s="6"/>
      <c r="D343" s="6"/>
      <c r="E343" s="6"/>
      <c r="F343" s="6"/>
      <c r="G343" s="6"/>
      <c r="H343" s="6"/>
      <c r="I343" s="6"/>
    </row>
    <row r="344" spans="3:9" x14ac:dyDescent="0.15">
      <c r="C344" s="6"/>
      <c r="D344" s="6"/>
      <c r="E344" s="6"/>
      <c r="F344" s="6"/>
      <c r="G344" s="6"/>
      <c r="H344" s="6"/>
      <c r="I344" s="6"/>
    </row>
    <row r="345" spans="3:9" x14ac:dyDescent="0.15">
      <c r="C345" s="6"/>
      <c r="D345" s="6"/>
      <c r="E345" s="6"/>
      <c r="F345" s="6"/>
      <c r="G345" s="6"/>
      <c r="H345" s="6"/>
      <c r="I345" s="6"/>
    </row>
    <row r="346" spans="3:9" x14ac:dyDescent="0.15">
      <c r="C346" s="6"/>
      <c r="D346" s="6"/>
      <c r="E346" s="6"/>
      <c r="F346" s="6"/>
      <c r="G346" s="6"/>
      <c r="H346" s="6"/>
      <c r="I346" s="6"/>
    </row>
    <row r="347" spans="3:9" x14ac:dyDescent="0.15">
      <c r="C347" s="6"/>
      <c r="D347" s="6"/>
      <c r="E347" s="6"/>
      <c r="F347" s="6"/>
      <c r="G347" s="6"/>
      <c r="H347" s="6"/>
      <c r="I347" s="6"/>
    </row>
    <row r="348" spans="3:9" x14ac:dyDescent="0.15">
      <c r="C348" s="6"/>
      <c r="D348" s="6"/>
      <c r="E348" s="6"/>
      <c r="F348" s="6"/>
      <c r="G348" s="6"/>
      <c r="H348" s="6"/>
      <c r="I348" s="6"/>
    </row>
    <row r="349" spans="3:9" x14ac:dyDescent="0.15">
      <c r="C349" s="6"/>
      <c r="D349" s="6"/>
      <c r="E349" s="6"/>
      <c r="F349" s="6"/>
      <c r="G349" s="6"/>
      <c r="H349" s="6"/>
      <c r="I349" s="6"/>
    </row>
    <row r="350" spans="3:9" x14ac:dyDescent="0.15">
      <c r="C350" s="6"/>
      <c r="D350" s="6"/>
      <c r="E350" s="6"/>
      <c r="F350" s="6"/>
      <c r="G350" s="6"/>
      <c r="H350" s="6"/>
      <c r="I350" s="6"/>
    </row>
    <row r="351" spans="3:9" x14ac:dyDescent="0.15">
      <c r="C351" s="6"/>
      <c r="D351" s="6"/>
      <c r="E351" s="6"/>
      <c r="F351" s="6"/>
      <c r="G351" s="6"/>
      <c r="H351" s="6"/>
      <c r="I351" s="6"/>
    </row>
    <row r="352" spans="3:9" x14ac:dyDescent="0.15">
      <c r="C352" s="6"/>
      <c r="D352" s="6"/>
      <c r="E352" s="6"/>
      <c r="F352" s="6"/>
      <c r="G352" s="6"/>
      <c r="H352" s="6"/>
      <c r="I352" s="6"/>
    </row>
    <row r="353" spans="3:9" x14ac:dyDescent="0.15">
      <c r="C353" s="6"/>
      <c r="D353" s="6"/>
      <c r="E353" s="6"/>
      <c r="F353" s="6"/>
      <c r="G353" s="6"/>
      <c r="H353" s="6"/>
      <c r="I353" s="6"/>
    </row>
    <row r="354" spans="3:9" x14ac:dyDescent="0.15">
      <c r="C354" s="6"/>
      <c r="D354" s="6"/>
      <c r="E354" s="6"/>
      <c r="F354" s="6"/>
      <c r="G354" s="6"/>
      <c r="H354" s="6"/>
      <c r="I354" s="6"/>
    </row>
    <row r="355" spans="3:9" x14ac:dyDescent="0.15">
      <c r="C355" s="6"/>
      <c r="D355" s="6"/>
      <c r="E355" s="6"/>
      <c r="F355" s="6"/>
      <c r="G355" s="6"/>
      <c r="H355" s="6"/>
      <c r="I355" s="6"/>
    </row>
    <row r="356" spans="3:9" x14ac:dyDescent="0.15">
      <c r="C356" s="6"/>
      <c r="D356" s="6"/>
      <c r="E356" s="6"/>
      <c r="F356" s="6"/>
      <c r="G356" s="6"/>
      <c r="H356" s="6"/>
      <c r="I356" s="6"/>
    </row>
    <row r="357" spans="3:9" x14ac:dyDescent="0.15">
      <c r="C357" s="6"/>
      <c r="D357" s="6"/>
      <c r="E357" s="6"/>
      <c r="F357" s="6"/>
      <c r="G357" s="6"/>
      <c r="H357" s="6"/>
      <c r="I357" s="6"/>
    </row>
    <row r="358" spans="3:9" x14ac:dyDescent="0.15">
      <c r="C358" s="6"/>
      <c r="D358" s="6"/>
      <c r="E358" s="6"/>
      <c r="F358" s="6"/>
      <c r="G358" s="6"/>
      <c r="H358" s="6"/>
      <c r="I358" s="6"/>
    </row>
    <row r="359" spans="3:9" x14ac:dyDescent="0.15">
      <c r="C359" s="6"/>
      <c r="D359" s="6"/>
      <c r="E359" s="6"/>
      <c r="F359" s="6"/>
      <c r="G359" s="6"/>
      <c r="H359" s="6"/>
      <c r="I359" s="6"/>
    </row>
    <row r="360" spans="3:9" x14ac:dyDescent="0.15">
      <c r="C360" s="6"/>
      <c r="D360" s="6"/>
      <c r="E360" s="6"/>
      <c r="F360" s="6"/>
      <c r="G360" s="6"/>
      <c r="H360" s="6"/>
      <c r="I360" s="6"/>
    </row>
    <row r="361" spans="3:9" x14ac:dyDescent="0.15">
      <c r="C361" s="6"/>
      <c r="D361" s="6"/>
      <c r="E361" s="6"/>
      <c r="F361" s="6"/>
      <c r="G361" s="6"/>
      <c r="H361" s="6"/>
      <c r="I361" s="6"/>
    </row>
    <row r="362" spans="3:9" x14ac:dyDescent="0.15">
      <c r="C362" s="6"/>
      <c r="D362" s="6"/>
      <c r="E362" s="6"/>
      <c r="F362" s="6"/>
      <c r="G362" s="6"/>
      <c r="H362" s="6"/>
      <c r="I362" s="6"/>
    </row>
    <row r="363" spans="3:9" x14ac:dyDescent="0.15">
      <c r="C363" s="6"/>
      <c r="D363" s="6"/>
      <c r="E363" s="6"/>
      <c r="F363" s="6"/>
      <c r="G363" s="6"/>
      <c r="H363" s="6"/>
      <c r="I363" s="6"/>
    </row>
    <row r="364" spans="3:9" x14ac:dyDescent="0.15">
      <c r="C364" s="6"/>
      <c r="D364" s="6"/>
      <c r="E364" s="6"/>
      <c r="F364" s="6"/>
      <c r="G364" s="6"/>
      <c r="H364" s="6"/>
      <c r="I364" s="6"/>
    </row>
    <row r="365" spans="3:9" x14ac:dyDescent="0.15">
      <c r="C365" s="6"/>
      <c r="D365" s="6"/>
      <c r="E365" s="6"/>
      <c r="F365" s="6"/>
      <c r="G365" s="6"/>
      <c r="H365" s="6"/>
      <c r="I365" s="6"/>
    </row>
    <row r="366" spans="3:9" x14ac:dyDescent="0.15">
      <c r="C366" s="6"/>
      <c r="D366" s="6"/>
      <c r="E366" s="6"/>
      <c r="F366" s="6"/>
      <c r="G366" s="6"/>
      <c r="H366" s="6"/>
      <c r="I366" s="6"/>
    </row>
    <row r="367" spans="3:9" x14ac:dyDescent="0.15">
      <c r="C367" s="6"/>
      <c r="D367" s="6"/>
      <c r="E367" s="6"/>
      <c r="F367" s="6"/>
      <c r="G367" s="6"/>
      <c r="H367" s="6"/>
      <c r="I367" s="6"/>
    </row>
    <row r="368" spans="3:9" x14ac:dyDescent="0.15">
      <c r="C368" s="6"/>
      <c r="D368" s="6"/>
      <c r="E368" s="6"/>
      <c r="F368" s="6"/>
      <c r="G368" s="6"/>
      <c r="H368" s="6"/>
      <c r="I368" s="6"/>
    </row>
    <row r="369" spans="3:9" x14ac:dyDescent="0.15">
      <c r="C369" s="6"/>
      <c r="D369" s="6"/>
      <c r="E369" s="6"/>
      <c r="F369" s="6"/>
      <c r="G369" s="6"/>
      <c r="H369" s="6"/>
      <c r="I369" s="6"/>
    </row>
    <row r="370" spans="3:9" x14ac:dyDescent="0.15">
      <c r="C370" s="6"/>
      <c r="D370" s="6"/>
      <c r="E370" s="6"/>
      <c r="F370" s="6"/>
      <c r="G370" s="6"/>
      <c r="H370" s="6"/>
      <c r="I370" s="6"/>
    </row>
    <row r="371" spans="3:9" x14ac:dyDescent="0.15">
      <c r="C371" s="6"/>
      <c r="D371" s="6"/>
      <c r="E371" s="6"/>
      <c r="F371" s="6"/>
      <c r="G371" s="6"/>
      <c r="H371" s="6"/>
      <c r="I371" s="6"/>
    </row>
    <row r="372" spans="3:9" x14ac:dyDescent="0.15">
      <c r="C372" s="6"/>
      <c r="D372" s="6"/>
      <c r="E372" s="6"/>
      <c r="F372" s="6"/>
      <c r="G372" s="6"/>
      <c r="H372" s="6"/>
      <c r="I372" s="6"/>
    </row>
    <row r="373" spans="3:9" x14ac:dyDescent="0.15">
      <c r="C373" s="6"/>
      <c r="D373" s="6"/>
      <c r="E373" s="6"/>
      <c r="F373" s="6"/>
      <c r="G373" s="6"/>
      <c r="H373" s="6"/>
      <c r="I373" s="6"/>
    </row>
    <row r="374" spans="3:9" x14ac:dyDescent="0.15">
      <c r="C374" s="6"/>
      <c r="D374" s="6"/>
      <c r="E374" s="6"/>
      <c r="F374" s="6"/>
      <c r="G374" s="6"/>
      <c r="H374" s="6"/>
      <c r="I374" s="6"/>
    </row>
    <row r="375" spans="3:9" x14ac:dyDescent="0.15">
      <c r="C375" s="6"/>
      <c r="D375" s="6"/>
      <c r="E375" s="6"/>
      <c r="F375" s="6"/>
      <c r="G375" s="6"/>
      <c r="H375" s="6"/>
      <c r="I375" s="6"/>
    </row>
    <row r="376" spans="3:9" x14ac:dyDescent="0.15">
      <c r="C376" s="6"/>
      <c r="D376" s="6"/>
      <c r="E376" s="6"/>
      <c r="F376" s="6"/>
      <c r="G376" s="6"/>
      <c r="H376" s="6"/>
      <c r="I376" s="6"/>
    </row>
    <row r="377" spans="3:9" x14ac:dyDescent="0.15">
      <c r="C377" s="6"/>
      <c r="D377" s="6"/>
      <c r="E377" s="6"/>
      <c r="F377" s="6"/>
      <c r="G377" s="6"/>
      <c r="H377" s="6"/>
      <c r="I377" s="6"/>
    </row>
    <row r="378" spans="3:9" x14ac:dyDescent="0.15">
      <c r="C378" s="6"/>
      <c r="D378" s="6"/>
      <c r="E378" s="6"/>
      <c r="F378" s="6"/>
      <c r="G378" s="6"/>
      <c r="H378" s="6"/>
      <c r="I378" s="6"/>
    </row>
    <row r="379" spans="3:9" x14ac:dyDescent="0.15">
      <c r="C379" s="6"/>
      <c r="D379" s="6"/>
      <c r="E379" s="6"/>
      <c r="F379" s="6"/>
      <c r="G379" s="6"/>
      <c r="H379" s="6"/>
      <c r="I379" s="6"/>
    </row>
    <row r="380" spans="3:9" x14ac:dyDescent="0.15">
      <c r="C380" s="6"/>
      <c r="D380" s="6"/>
      <c r="E380" s="6"/>
      <c r="F380" s="6"/>
      <c r="G380" s="6"/>
      <c r="H380" s="6"/>
      <c r="I380" s="6"/>
    </row>
    <row r="381" spans="3:9" x14ac:dyDescent="0.15">
      <c r="C381" s="6"/>
      <c r="D381" s="6"/>
      <c r="E381" s="6"/>
      <c r="F381" s="6"/>
      <c r="G381" s="6"/>
      <c r="H381" s="6"/>
      <c r="I381" s="6"/>
    </row>
    <row r="382" spans="3:9" x14ac:dyDescent="0.15">
      <c r="C382" s="6"/>
      <c r="D382" s="6"/>
      <c r="E382" s="6"/>
      <c r="F382" s="6"/>
      <c r="G382" s="6"/>
      <c r="H382" s="6"/>
      <c r="I382" s="6"/>
    </row>
    <row r="383" spans="3:9" x14ac:dyDescent="0.15">
      <c r="C383" s="6"/>
      <c r="D383" s="6"/>
      <c r="E383" s="6"/>
      <c r="F383" s="6"/>
      <c r="G383" s="6"/>
      <c r="H383" s="6"/>
      <c r="I383" s="6"/>
    </row>
    <row r="384" spans="3:9" x14ac:dyDescent="0.15">
      <c r="C384" s="6"/>
      <c r="D384" s="6"/>
      <c r="E384" s="6"/>
      <c r="F384" s="6"/>
      <c r="G384" s="6"/>
      <c r="H384" s="6"/>
      <c r="I384" s="6"/>
    </row>
    <row r="385" spans="3:9" x14ac:dyDescent="0.15">
      <c r="C385" s="6"/>
      <c r="D385" s="6"/>
      <c r="E385" s="6"/>
      <c r="F385" s="6"/>
      <c r="G385" s="6"/>
      <c r="H385" s="6"/>
      <c r="I385" s="6"/>
    </row>
    <row r="386" spans="3:9" x14ac:dyDescent="0.15">
      <c r="C386" s="6"/>
      <c r="D386" s="6"/>
      <c r="E386" s="6"/>
      <c r="F386" s="6"/>
      <c r="G386" s="6"/>
      <c r="H386" s="6"/>
      <c r="I386" s="6"/>
    </row>
    <row r="387" spans="3:9" x14ac:dyDescent="0.15">
      <c r="C387" s="6"/>
      <c r="D387" s="6"/>
      <c r="E387" s="6"/>
      <c r="F387" s="6"/>
      <c r="G387" s="6"/>
      <c r="H387" s="6"/>
      <c r="I387" s="6"/>
    </row>
    <row r="388" spans="3:9" x14ac:dyDescent="0.15">
      <c r="C388" s="6"/>
      <c r="D388" s="6"/>
      <c r="E388" s="6"/>
      <c r="F388" s="6"/>
      <c r="G388" s="6"/>
      <c r="H388" s="6"/>
      <c r="I388" s="6"/>
    </row>
    <row r="389" spans="3:9" x14ac:dyDescent="0.15">
      <c r="C389" s="6"/>
      <c r="D389" s="6"/>
      <c r="E389" s="6"/>
      <c r="F389" s="6"/>
      <c r="G389" s="6"/>
      <c r="H389" s="6"/>
      <c r="I389" s="6"/>
    </row>
    <row r="390" spans="3:9" x14ac:dyDescent="0.15">
      <c r="C390" s="6"/>
      <c r="D390" s="6"/>
      <c r="E390" s="6"/>
      <c r="F390" s="6"/>
      <c r="G390" s="6"/>
      <c r="H390" s="6"/>
      <c r="I390" s="6"/>
    </row>
    <row r="391" spans="3:9" x14ac:dyDescent="0.15">
      <c r="C391" s="6"/>
      <c r="D391" s="6"/>
      <c r="E391" s="6"/>
      <c r="F391" s="6"/>
      <c r="G391" s="6"/>
      <c r="H391" s="6"/>
      <c r="I391" s="6"/>
    </row>
    <row r="392" spans="3:9" x14ac:dyDescent="0.15">
      <c r="C392" s="6"/>
      <c r="D392" s="6"/>
      <c r="E392" s="6"/>
      <c r="F392" s="6"/>
      <c r="G392" s="6"/>
      <c r="H392" s="6"/>
      <c r="I392" s="6"/>
    </row>
    <row r="393" spans="3:9" x14ac:dyDescent="0.15">
      <c r="C393" s="6"/>
      <c r="D393" s="6"/>
      <c r="E393" s="6"/>
      <c r="F393" s="6"/>
      <c r="G393" s="6"/>
      <c r="H393" s="6"/>
      <c r="I393" s="6"/>
    </row>
    <row r="394" spans="3:9" x14ac:dyDescent="0.15">
      <c r="C394" s="6"/>
      <c r="D394" s="6"/>
      <c r="E394" s="6"/>
      <c r="F394" s="6"/>
      <c r="G394" s="6"/>
      <c r="H394" s="6"/>
      <c r="I394" s="6"/>
    </row>
    <row r="395" spans="3:9" x14ac:dyDescent="0.15">
      <c r="C395" s="6"/>
      <c r="D395" s="6"/>
      <c r="E395" s="6"/>
      <c r="F395" s="6"/>
      <c r="G395" s="6"/>
      <c r="H395" s="6"/>
      <c r="I395" s="6"/>
    </row>
    <row r="396" spans="3:9" x14ac:dyDescent="0.15">
      <c r="C396" s="6"/>
      <c r="D396" s="6"/>
      <c r="E396" s="6"/>
      <c r="F396" s="6"/>
      <c r="G396" s="6"/>
      <c r="H396" s="6"/>
      <c r="I396" s="6"/>
    </row>
    <row r="397" spans="3:9" x14ac:dyDescent="0.15">
      <c r="C397" s="6"/>
      <c r="D397" s="6"/>
      <c r="E397" s="6"/>
      <c r="F397" s="6"/>
      <c r="G397" s="6"/>
      <c r="H397" s="6"/>
      <c r="I397" s="6"/>
    </row>
    <row r="398" spans="3:9" x14ac:dyDescent="0.15">
      <c r="C398" s="6"/>
      <c r="D398" s="6"/>
      <c r="E398" s="6"/>
      <c r="F398" s="6"/>
      <c r="G398" s="6"/>
      <c r="H398" s="6"/>
      <c r="I398" s="6"/>
    </row>
    <row r="399" spans="3:9" x14ac:dyDescent="0.15">
      <c r="C399" s="6"/>
      <c r="D399" s="6"/>
      <c r="E399" s="6"/>
      <c r="F399" s="6"/>
      <c r="G399" s="6"/>
      <c r="H399" s="6"/>
      <c r="I399" s="6"/>
    </row>
    <row r="400" spans="3:9" x14ac:dyDescent="0.15">
      <c r="C400" s="6"/>
      <c r="D400" s="6"/>
      <c r="E400" s="6"/>
      <c r="F400" s="6"/>
      <c r="G400" s="6"/>
      <c r="H400" s="6"/>
      <c r="I400" s="6"/>
    </row>
    <row r="401" spans="3:9" x14ac:dyDescent="0.15">
      <c r="C401" s="6"/>
      <c r="D401" s="6"/>
      <c r="E401" s="6"/>
      <c r="F401" s="6"/>
      <c r="G401" s="6"/>
      <c r="H401" s="6"/>
      <c r="I401" s="6"/>
    </row>
    <row r="402" spans="3:9" x14ac:dyDescent="0.15">
      <c r="C402" s="6"/>
      <c r="D402" s="6"/>
      <c r="E402" s="6"/>
      <c r="F402" s="6"/>
      <c r="G402" s="6"/>
      <c r="H402" s="6"/>
      <c r="I402" s="6"/>
    </row>
    <row r="403" spans="3:9" x14ac:dyDescent="0.15">
      <c r="C403" s="6"/>
      <c r="D403" s="6"/>
      <c r="E403" s="6"/>
      <c r="F403" s="6"/>
      <c r="G403" s="6"/>
      <c r="H403" s="6"/>
      <c r="I403" s="6"/>
    </row>
    <row r="404" spans="3:9" x14ac:dyDescent="0.15">
      <c r="C404" s="6"/>
      <c r="D404" s="6"/>
      <c r="E404" s="6"/>
      <c r="F404" s="6"/>
      <c r="G404" s="6"/>
      <c r="H404" s="6"/>
      <c r="I404" s="6"/>
    </row>
    <row r="405" spans="3:9" x14ac:dyDescent="0.15">
      <c r="C405" s="6"/>
      <c r="D405" s="6"/>
      <c r="E405" s="6"/>
      <c r="F405" s="6"/>
      <c r="G405" s="6"/>
      <c r="H405" s="6"/>
      <c r="I405" s="6"/>
    </row>
    <row r="406" spans="3:9" x14ac:dyDescent="0.15">
      <c r="C406" s="6"/>
      <c r="D406" s="6"/>
      <c r="E406" s="6"/>
      <c r="F406" s="6"/>
      <c r="G406" s="6"/>
      <c r="H406" s="6"/>
      <c r="I406" s="6"/>
    </row>
    <row r="407" spans="3:9" x14ac:dyDescent="0.15">
      <c r="C407" s="6"/>
      <c r="D407" s="6"/>
      <c r="E407" s="6"/>
      <c r="F407" s="6"/>
      <c r="G407" s="6"/>
      <c r="H407" s="6"/>
      <c r="I407" s="6"/>
    </row>
    <row r="408" spans="3:9" x14ac:dyDescent="0.15">
      <c r="C408" s="6"/>
      <c r="D408" s="6"/>
      <c r="E408" s="6"/>
      <c r="F408" s="6"/>
      <c r="G408" s="6"/>
      <c r="H408" s="6"/>
      <c r="I408" s="6"/>
    </row>
    <row r="409" spans="3:9" x14ac:dyDescent="0.15">
      <c r="C409" s="6"/>
      <c r="D409" s="6"/>
      <c r="E409" s="6"/>
      <c r="F409" s="6"/>
      <c r="G409" s="6"/>
      <c r="H409" s="6"/>
      <c r="I409" s="6"/>
    </row>
    <row r="410" spans="3:9" x14ac:dyDescent="0.15">
      <c r="C410" s="6"/>
      <c r="D410" s="6"/>
      <c r="E410" s="6"/>
      <c r="F410" s="6"/>
      <c r="G410" s="6"/>
      <c r="H410" s="6"/>
      <c r="I410" s="6"/>
    </row>
    <row r="411" spans="3:9" x14ac:dyDescent="0.15">
      <c r="C411" s="6"/>
      <c r="D411" s="6"/>
      <c r="E411" s="6"/>
      <c r="F411" s="6"/>
      <c r="G411" s="6"/>
      <c r="H411" s="6"/>
      <c r="I411" s="6"/>
    </row>
    <row r="412" spans="3:9" x14ac:dyDescent="0.15">
      <c r="C412" s="6"/>
      <c r="D412" s="6"/>
      <c r="E412" s="6"/>
      <c r="F412" s="6"/>
      <c r="G412" s="6"/>
      <c r="H412" s="6"/>
      <c r="I412" s="6"/>
    </row>
    <row r="413" spans="3:9" x14ac:dyDescent="0.15">
      <c r="C413" s="6"/>
      <c r="D413" s="6"/>
      <c r="E413" s="6"/>
      <c r="F413" s="6"/>
      <c r="G413" s="6"/>
      <c r="H413" s="6"/>
      <c r="I413" s="6"/>
    </row>
    <row r="414" spans="3:9" x14ac:dyDescent="0.15">
      <c r="C414" s="6"/>
      <c r="D414" s="6"/>
      <c r="E414" s="6"/>
      <c r="F414" s="6"/>
      <c r="G414" s="6"/>
      <c r="H414" s="6"/>
      <c r="I414" s="6"/>
    </row>
    <row r="415" spans="3:9" x14ac:dyDescent="0.15">
      <c r="C415" s="6"/>
      <c r="D415" s="6"/>
      <c r="E415" s="6"/>
      <c r="F415" s="6"/>
      <c r="G415" s="6"/>
      <c r="H415" s="6"/>
      <c r="I415" s="6"/>
    </row>
    <row r="416" spans="3:9" x14ac:dyDescent="0.15">
      <c r="C416" s="6"/>
      <c r="D416" s="6"/>
      <c r="E416" s="6"/>
      <c r="F416" s="6"/>
      <c r="G416" s="6"/>
      <c r="H416" s="6"/>
      <c r="I416" s="6"/>
    </row>
    <row r="417" spans="3:9" x14ac:dyDescent="0.15">
      <c r="C417" s="6"/>
      <c r="D417" s="6"/>
      <c r="E417" s="6"/>
      <c r="F417" s="6"/>
      <c r="G417" s="6"/>
      <c r="H417" s="6"/>
      <c r="I417" s="6"/>
    </row>
    <row r="418" spans="3:9" x14ac:dyDescent="0.15">
      <c r="C418" s="6"/>
      <c r="D418" s="6"/>
      <c r="E418" s="6"/>
      <c r="F418" s="6"/>
      <c r="G418" s="6"/>
      <c r="H418" s="6"/>
      <c r="I418" s="6"/>
    </row>
    <row r="419" spans="3:9" x14ac:dyDescent="0.15">
      <c r="C419" s="6"/>
      <c r="D419" s="6"/>
      <c r="E419" s="6"/>
      <c r="F419" s="6"/>
      <c r="G419" s="6"/>
      <c r="H419" s="6"/>
      <c r="I419" s="6"/>
    </row>
    <row r="420" spans="3:9" x14ac:dyDescent="0.15">
      <c r="C420" s="6"/>
      <c r="D420" s="6"/>
      <c r="E420" s="6"/>
      <c r="F420" s="6"/>
      <c r="G420" s="6"/>
      <c r="H420" s="6"/>
      <c r="I420" s="6"/>
    </row>
    <row r="421" spans="3:9" x14ac:dyDescent="0.15">
      <c r="C421" s="6"/>
      <c r="D421" s="6"/>
      <c r="E421" s="6"/>
      <c r="F421" s="6"/>
      <c r="G421" s="6"/>
      <c r="H421" s="6"/>
      <c r="I421" s="6"/>
    </row>
    <row r="422" spans="3:9" x14ac:dyDescent="0.15">
      <c r="C422" s="6"/>
      <c r="D422" s="6"/>
      <c r="E422" s="6"/>
      <c r="F422" s="6"/>
      <c r="G422" s="6"/>
      <c r="H422" s="6"/>
      <c r="I422" s="6"/>
    </row>
    <row r="423" spans="3:9" x14ac:dyDescent="0.15">
      <c r="C423" s="6"/>
      <c r="D423" s="6"/>
      <c r="E423" s="6"/>
      <c r="F423" s="6"/>
      <c r="G423" s="6"/>
      <c r="H423" s="6"/>
      <c r="I423" s="6"/>
    </row>
    <row r="424" spans="3:9" x14ac:dyDescent="0.15">
      <c r="C424" s="6"/>
      <c r="D424" s="6"/>
      <c r="E424" s="6"/>
      <c r="F424" s="6"/>
      <c r="G424" s="6"/>
      <c r="H424" s="6"/>
      <c r="I424" s="6"/>
    </row>
    <row r="425" spans="3:9" x14ac:dyDescent="0.15">
      <c r="C425" s="6"/>
      <c r="D425" s="6"/>
      <c r="E425" s="6"/>
      <c r="F425" s="6"/>
      <c r="G425" s="6"/>
      <c r="H425" s="6"/>
      <c r="I425" s="6"/>
    </row>
    <row r="426" spans="3:9" x14ac:dyDescent="0.15">
      <c r="C426" s="6"/>
      <c r="D426" s="6"/>
      <c r="E426" s="6"/>
      <c r="F426" s="6"/>
      <c r="G426" s="6"/>
      <c r="H426" s="6"/>
      <c r="I426" s="6"/>
    </row>
    <row r="427" spans="3:9" x14ac:dyDescent="0.15">
      <c r="C427" s="6"/>
      <c r="D427" s="6"/>
      <c r="E427" s="6"/>
      <c r="F427" s="6"/>
      <c r="G427" s="6"/>
      <c r="H427" s="6"/>
      <c r="I427" s="6"/>
    </row>
    <row r="428" spans="3:9" x14ac:dyDescent="0.15">
      <c r="C428" s="6"/>
      <c r="D428" s="6"/>
      <c r="E428" s="6"/>
      <c r="F428" s="6"/>
      <c r="G428" s="6"/>
      <c r="H428" s="6"/>
      <c r="I428" s="6"/>
    </row>
    <row r="429" spans="3:9" x14ac:dyDescent="0.15">
      <c r="C429" s="6"/>
      <c r="D429" s="6"/>
      <c r="E429" s="6"/>
      <c r="F429" s="6"/>
      <c r="G429" s="6"/>
      <c r="H429" s="6"/>
      <c r="I429" s="6"/>
    </row>
    <row r="430" spans="3:9" x14ac:dyDescent="0.15">
      <c r="C430" s="6"/>
      <c r="D430" s="6"/>
      <c r="E430" s="6"/>
      <c r="F430" s="6"/>
      <c r="G430" s="6"/>
      <c r="H430" s="6"/>
      <c r="I430" s="6"/>
    </row>
    <row r="431" spans="3:9" x14ac:dyDescent="0.15">
      <c r="C431" s="6"/>
      <c r="D431" s="6"/>
      <c r="E431" s="6"/>
      <c r="F431" s="6"/>
      <c r="G431" s="6"/>
      <c r="H431" s="6"/>
      <c r="I431" s="6"/>
    </row>
    <row r="432" spans="3:9" x14ac:dyDescent="0.15">
      <c r="C432" s="6"/>
      <c r="D432" s="6"/>
      <c r="E432" s="6"/>
      <c r="F432" s="6"/>
      <c r="G432" s="6"/>
      <c r="H432" s="6"/>
      <c r="I432" s="6"/>
    </row>
    <row r="433" spans="3:9" x14ac:dyDescent="0.15">
      <c r="C433" s="6"/>
      <c r="D433" s="6"/>
      <c r="E433" s="6"/>
      <c r="F433" s="6"/>
      <c r="G433" s="6"/>
      <c r="H433" s="6"/>
      <c r="I433" s="6"/>
    </row>
    <row r="434" spans="3:9" x14ac:dyDescent="0.15">
      <c r="C434" s="6"/>
      <c r="D434" s="6"/>
      <c r="E434" s="6"/>
      <c r="F434" s="6"/>
      <c r="G434" s="6"/>
      <c r="H434" s="6"/>
      <c r="I434" s="6"/>
    </row>
    <row r="435" spans="3:9" x14ac:dyDescent="0.15">
      <c r="C435" s="6"/>
      <c r="D435" s="6"/>
      <c r="E435" s="6"/>
      <c r="F435" s="6"/>
      <c r="G435" s="6"/>
      <c r="H435" s="6"/>
      <c r="I435" s="6"/>
    </row>
    <row r="436" spans="3:9" x14ac:dyDescent="0.15">
      <c r="C436" s="6"/>
      <c r="D436" s="6"/>
      <c r="E436" s="6"/>
      <c r="F436" s="6"/>
      <c r="G436" s="6"/>
      <c r="H436" s="6"/>
      <c r="I436" s="6"/>
    </row>
    <row r="437" spans="3:9" x14ac:dyDescent="0.15">
      <c r="C437" s="6"/>
      <c r="D437" s="6"/>
      <c r="E437" s="6"/>
      <c r="F437" s="6"/>
      <c r="G437" s="6"/>
      <c r="H437" s="6"/>
      <c r="I437" s="6"/>
    </row>
    <row r="438" spans="3:9" x14ac:dyDescent="0.15">
      <c r="C438" s="6"/>
      <c r="D438" s="6"/>
      <c r="E438" s="6"/>
      <c r="F438" s="6"/>
      <c r="G438" s="6"/>
      <c r="H438" s="6"/>
      <c r="I438" s="6"/>
    </row>
    <row r="439" spans="3:9" x14ac:dyDescent="0.15">
      <c r="C439" s="6"/>
      <c r="D439" s="6"/>
      <c r="E439" s="6"/>
      <c r="F439" s="6"/>
      <c r="G439" s="6"/>
      <c r="H439" s="6"/>
      <c r="I439" s="6"/>
    </row>
    <row r="440" spans="3:9" x14ac:dyDescent="0.15">
      <c r="C440" s="6"/>
      <c r="D440" s="6"/>
      <c r="E440" s="6"/>
      <c r="F440" s="6"/>
      <c r="G440" s="6"/>
      <c r="H440" s="6"/>
      <c r="I440" s="6"/>
    </row>
    <row r="441" spans="3:9" x14ac:dyDescent="0.15">
      <c r="C441" s="6"/>
      <c r="D441" s="6"/>
      <c r="E441" s="6"/>
      <c r="F441" s="6"/>
      <c r="G441" s="6"/>
      <c r="H441" s="6"/>
      <c r="I441" s="6"/>
    </row>
    <row r="442" spans="3:9" x14ac:dyDescent="0.15">
      <c r="C442" s="6"/>
      <c r="D442" s="6"/>
      <c r="E442" s="6"/>
      <c r="F442" s="6"/>
      <c r="G442" s="6"/>
      <c r="H442" s="6"/>
      <c r="I442" s="6"/>
    </row>
    <row r="443" spans="3:9" x14ac:dyDescent="0.15">
      <c r="C443" s="6"/>
      <c r="D443" s="6"/>
      <c r="E443" s="6"/>
      <c r="F443" s="6"/>
      <c r="G443" s="6"/>
      <c r="H443" s="6"/>
      <c r="I443" s="6"/>
    </row>
    <row r="444" spans="3:9" x14ac:dyDescent="0.15">
      <c r="C444" s="6"/>
      <c r="D444" s="6"/>
      <c r="E444" s="6"/>
      <c r="F444" s="6"/>
      <c r="G444" s="6"/>
      <c r="H444" s="6"/>
      <c r="I444" s="6"/>
    </row>
    <row r="445" spans="3:9" x14ac:dyDescent="0.15">
      <c r="C445" s="6"/>
      <c r="D445" s="6"/>
      <c r="E445" s="6"/>
      <c r="F445" s="6"/>
      <c r="G445" s="6"/>
      <c r="H445" s="6"/>
      <c r="I445" s="6"/>
    </row>
    <row r="446" spans="3:9" x14ac:dyDescent="0.15">
      <c r="C446" s="6"/>
      <c r="D446" s="6"/>
      <c r="E446" s="6"/>
      <c r="F446" s="6"/>
      <c r="G446" s="6"/>
      <c r="H446" s="6"/>
      <c r="I446" s="6"/>
    </row>
    <row r="447" spans="3:9" x14ac:dyDescent="0.15">
      <c r="C447" s="6"/>
      <c r="D447" s="6"/>
      <c r="E447" s="6"/>
      <c r="F447" s="6"/>
      <c r="G447" s="6"/>
      <c r="H447" s="6"/>
      <c r="I447" s="6"/>
    </row>
    <row r="448" spans="3:9" x14ac:dyDescent="0.15">
      <c r="C448" s="6"/>
      <c r="D448" s="6"/>
      <c r="E448" s="6"/>
      <c r="F448" s="6"/>
      <c r="G448" s="6"/>
      <c r="H448" s="6"/>
      <c r="I448" s="6"/>
    </row>
    <row r="449" spans="3:9" x14ac:dyDescent="0.15">
      <c r="C449" s="6"/>
      <c r="D449" s="6"/>
      <c r="E449" s="6"/>
      <c r="F449" s="6"/>
      <c r="G449" s="6"/>
      <c r="H449" s="6"/>
      <c r="I449" s="6"/>
    </row>
    <row r="450" spans="3:9" x14ac:dyDescent="0.15">
      <c r="C450" s="6"/>
      <c r="D450" s="6"/>
      <c r="E450" s="6"/>
      <c r="F450" s="6"/>
      <c r="G450" s="6"/>
      <c r="H450" s="6"/>
      <c r="I450" s="6"/>
    </row>
    <row r="451" spans="3:9" x14ac:dyDescent="0.15">
      <c r="C451" s="6"/>
      <c r="D451" s="6"/>
      <c r="E451" s="6"/>
      <c r="F451" s="6"/>
      <c r="G451" s="6"/>
      <c r="H451" s="6"/>
      <c r="I451" s="6"/>
    </row>
    <row r="452" spans="3:9" x14ac:dyDescent="0.15">
      <c r="C452" s="6"/>
      <c r="D452" s="6"/>
      <c r="E452" s="6"/>
      <c r="F452" s="6"/>
      <c r="G452" s="6"/>
      <c r="H452" s="6"/>
      <c r="I452" s="6"/>
    </row>
    <row r="453" spans="3:9" x14ac:dyDescent="0.15">
      <c r="C453" s="6"/>
      <c r="D453" s="6"/>
      <c r="E453" s="6"/>
      <c r="F453" s="6"/>
      <c r="G453" s="6"/>
      <c r="H453" s="6"/>
      <c r="I453" s="6"/>
    </row>
    <row r="454" spans="3:9" x14ac:dyDescent="0.15">
      <c r="C454" s="6"/>
      <c r="D454" s="6"/>
      <c r="E454" s="6"/>
      <c r="F454" s="6"/>
      <c r="G454" s="6"/>
      <c r="H454" s="6"/>
      <c r="I454" s="6"/>
    </row>
    <row r="455" spans="3:9" x14ac:dyDescent="0.15">
      <c r="C455" s="6"/>
      <c r="D455" s="6"/>
      <c r="E455" s="6"/>
      <c r="F455" s="6"/>
      <c r="G455" s="6"/>
      <c r="H455" s="6"/>
      <c r="I455" s="6"/>
    </row>
    <row r="456" spans="3:9" x14ac:dyDescent="0.15">
      <c r="C456" s="6"/>
      <c r="D456" s="6"/>
      <c r="E456" s="6"/>
      <c r="F456" s="6"/>
      <c r="G456" s="6"/>
      <c r="H456" s="6"/>
      <c r="I456" s="6"/>
    </row>
    <row r="457" spans="3:9" x14ac:dyDescent="0.15">
      <c r="C457" s="6"/>
      <c r="D457" s="6"/>
      <c r="E457" s="6"/>
      <c r="F457" s="6"/>
      <c r="G457" s="6"/>
      <c r="H457" s="6"/>
      <c r="I457" s="6"/>
    </row>
    <row r="458" spans="3:9" x14ac:dyDescent="0.15">
      <c r="C458" s="6"/>
      <c r="D458" s="6"/>
      <c r="E458" s="6"/>
      <c r="F458" s="6"/>
      <c r="G458" s="6"/>
      <c r="H458" s="6"/>
      <c r="I458" s="6"/>
    </row>
    <row r="459" spans="3:9" x14ac:dyDescent="0.15">
      <c r="C459" s="6"/>
      <c r="D459" s="6"/>
      <c r="E459" s="6"/>
      <c r="F459" s="6"/>
      <c r="G459" s="6"/>
      <c r="H459" s="6"/>
      <c r="I459" s="6"/>
    </row>
    <row r="460" spans="3:9" x14ac:dyDescent="0.15">
      <c r="C460" s="6"/>
      <c r="D460" s="6"/>
      <c r="E460" s="6"/>
      <c r="F460" s="6"/>
      <c r="G460" s="6"/>
      <c r="H460" s="6"/>
      <c r="I460" s="6"/>
    </row>
    <row r="461" spans="3:9" x14ac:dyDescent="0.15">
      <c r="C461" s="6"/>
      <c r="D461" s="6"/>
      <c r="E461" s="6"/>
      <c r="F461" s="6"/>
      <c r="G461" s="6"/>
      <c r="H461" s="6"/>
      <c r="I461" s="6"/>
    </row>
    <row r="462" spans="3:9" x14ac:dyDescent="0.15">
      <c r="C462" s="6"/>
      <c r="D462" s="6"/>
      <c r="E462" s="6"/>
      <c r="F462" s="6"/>
      <c r="G462" s="6"/>
      <c r="H462" s="6"/>
      <c r="I462" s="6"/>
    </row>
    <row r="463" spans="3:9" x14ac:dyDescent="0.15">
      <c r="C463" s="6"/>
      <c r="D463" s="6"/>
      <c r="E463" s="6"/>
      <c r="F463" s="6"/>
      <c r="G463" s="6"/>
      <c r="H463" s="6"/>
      <c r="I463" s="6"/>
    </row>
    <row r="464" spans="3:9" x14ac:dyDescent="0.15">
      <c r="C464" s="6"/>
      <c r="D464" s="6"/>
      <c r="E464" s="6"/>
      <c r="F464" s="6"/>
      <c r="G464" s="6"/>
      <c r="H464" s="6"/>
      <c r="I464" s="6"/>
    </row>
    <row r="465" spans="3:9" x14ac:dyDescent="0.15">
      <c r="C465" s="6"/>
      <c r="D465" s="6"/>
      <c r="E465" s="6"/>
      <c r="F465" s="6"/>
      <c r="G465" s="6"/>
      <c r="H465" s="6"/>
      <c r="I465" s="6"/>
    </row>
    <row r="466" spans="3:9" x14ac:dyDescent="0.15">
      <c r="C466" s="6"/>
      <c r="D466" s="6"/>
      <c r="E466" s="6"/>
      <c r="F466" s="6"/>
      <c r="G466" s="6"/>
      <c r="H466" s="6"/>
      <c r="I466" s="6"/>
    </row>
    <row r="467" spans="3:9" x14ac:dyDescent="0.15">
      <c r="C467" s="6"/>
      <c r="D467" s="6"/>
      <c r="E467" s="6"/>
      <c r="F467" s="6"/>
      <c r="G467" s="6"/>
      <c r="H467" s="6"/>
      <c r="I467" s="6"/>
    </row>
    <row r="468" spans="3:9" x14ac:dyDescent="0.15">
      <c r="C468" s="6"/>
      <c r="D468" s="6"/>
      <c r="E468" s="6"/>
      <c r="F468" s="6"/>
      <c r="G468" s="6"/>
      <c r="H468" s="6"/>
      <c r="I468" s="6"/>
    </row>
    <row r="469" spans="3:9" x14ac:dyDescent="0.15">
      <c r="C469" s="6"/>
      <c r="D469" s="6"/>
      <c r="E469" s="6"/>
      <c r="F469" s="6"/>
      <c r="G469" s="6"/>
      <c r="H469" s="6"/>
      <c r="I469" s="6"/>
    </row>
    <row r="470" spans="3:9" x14ac:dyDescent="0.15">
      <c r="C470" s="6"/>
      <c r="D470" s="6"/>
      <c r="E470" s="6"/>
      <c r="F470" s="6"/>
      <c r="G470" s="6"/>
      <c r="H470" s="6"/>
      <c r="I470" s="6"/>
    </row>
    <row r="471" spans="3:9" x14ac:dyDescent="0.15">
      <c r="C471" s="6"/>
      <c r="D471" s="6"/>
      <c r="E471" s="6"/>
      <c r="F471" s="6"/>
      <c r="G471" s="6"/>
      <c r="H471" s="6"/>
      <c r="I471" s="6"/>
    </row>
    <row r="472" spans="3:9" x14ac:dyDescent="0.15">
      <c r="C472" s="6"/>
      <c r="D472" s="6"/>
      <c r="E472" s="6"/>
      <c r="F472" s="6"/>
      <c r="G472" s="6"/>
      <c r="H472" s="6"/>
      <c r="I472" s="6"/>
    </row>
    <row r="473" spans="3:9" x14ac:dyDescent="0.15">
      <c r="C473" s="6"/>
      <c r="D473" s="6"/>
      <c r="E473" s="6"/>
      <c r="F473" s="6"/>
      <c r="G473" s="6"/>
      <c r="H473" s="6"/>
      <c r="I473" s="6"/>
    </row>
    <row r="474" spans="3:9" x14ac:dyDescent="0.15">
      <c r="C474" s="6"/>
      <c r="D474" s="6"/>
      <c r="E474" s="6"/>
      <c r="F474" s="6"/>
      <c r="G474" s="6"/>
      <c r="H474" s="6"/>
      <c r="I474" s="6"/>
    </row>
    <row r="475" spans="3:9" x14ac:dyDescent="0.15">
      <c r="C475" s="6"/>
      <c r="D475" s="6"/>
      <c r="E475" s="6"/>
      <c r="F475" s="6"/>
      <c r="G475" s="6"/>
      <c r="H475" s="6"/>
      <c r="I475" s="6"/>
    </row>
    <row r="476" spans="3:9" x14ac:dyDescent="0.15">
      <c r="C476" s="6"/>
      <c r="D476" s="6"/>
      <c r="E476" s="6"/>
      <c r="F476" s="6"/>
      <c r="G476" s="6"/>
      <c r="H476" s="6"/>
      <c r="I476" s="6"/>
    </row>
    <row r="477" spans="3:9" x14ac:dyDescent="0.15">
      <c r="C477" s="6"/>
      <c r="D477" s="6"/>
      <c r="E477" s="6"/>
      <c r="F477" s="6"/>
      <c r="G477" s="6"/>
      <c r="H477" s="6"/>
      <c r="I477" s="6"/>
    </row>
    <row r="478" spans="3:9" x14ac:dyDescent="0.15">
      <c r="C478" s="6"/>
      <c r="D478" s="6"/>
      <c r="E478" s="6"/>
      <c r="F478" s="6"/>
      <c r="G478" s="6"/>
      <c r="H478" s="6"/>
      <c r="I478" s="6"/>
    </row>
    <row r="479" spans="3:9" x14ac:dyDescent="0.15">
      <c r="C479" s="6"/>
      <c r="D479" s="6"/>
      <c r="E479" s="6"/>
      <c r="F479" s="6"/>
      <c r="G479" s="6"/>
      <c r="H479" s="6"/>
      <c r="I479" s="6"/>
    </row>
    <row r="480" spans="3:9" x14ac:dyDescent="0.15">
      <c r="C480" s="6"/>
      <c r="D480" s="6"/>
      <c r="E480" s="6"/>
      <c r="F480" s="6"/>
      <c r="G480" s="6"/>
      <c r="H480" s="6"/>
      <c r="I480" s="6"/>
    </row>
    <row r="481" spans="3:9" x14ac:dyDescent="0.15">
      <c r="C481" s="6"/>
      <c r="D481" s="6"/>
      <c r="E481" s="6"/>
      <c r="F481" s="6"/>
      <c r="G481" s="6"/>
      <c r="H481" s="6"/>
      <c r="I481" s="6"/>
    </row>
    <row r="482" spans="3:9" x14ac:dyDescent="0.15">
      <c r="C482" s="6"/>
      <c r="D482" s="6"/>
      <c r="E482" s="6"/>
      <c r="F482" s="6"/>
      <c r="G482" s="6"/>
      <c r="H482" s="6"/>
      <c r="I482" s="6"/>
    </row>
    <row r="483" spans="3:9" x14ac:dyDescent="0.15">
      <c r="C483" s="6"/>
      <c r="D483" s="6"/>
      <c r="E483" s="6"/>
      <c r="F483" s="6"/>
      <c r="G483" s="6"/>
      <c r="H483" s="6"/>
      <c r="I483" s="6"/>
    </row>
    <row r="484" spans="3:9" x14ac:dyDescent="0.15">
      <c r="C484" s="6"/>
      <c r="D484" s="6"/>
      <c r="E484" s="6"/>
      <c r="F484" s="6"/>
      <c r="G484" s="6"/>
      <c r="H484" s="6"/>
      <c r="I484" s="6"/>
    </row>
    <row r="485" spans="3:9" x14ac:dyDescent="0.15">
      <c r="C485" s="6"/>
      <c r="D485" s="6"/>
      <c r="E485" s="6"/>
      <c r="F485" s="6"/>
      <c r="G485" s="6"/>
      <c r="H485" s="6"/>
      <c r="I485" s="6"/>
    </row>
    <row r="486" spans="3:9" x14ac:dyDescent="0.15">
      <c r="C486" s="6"/>
      <c r="D486" s="6"/>
      <c r="E486" s="6"/>
      <c r="F486" s="6"/>
      <c r="G486" s="6"/>
      <c r="H486" s="6"/>
      <c r="I486" s="6"/>
    </row>
    <row r="487" spans="3:9" x14ac:dyDescent="0.15">
      <c r="C487" s="6"/>
      <c r="D487" s="6"/>
      <c r="E487" s="6"/>
      <c r="F487" s="6"/>
      <c r="G487" s="6"/>
      <c r="H487" s="6"/>
      <c r="I487" s="6"/>
    </row>
    <row r="488" spans="3:9" x14ac:dyDescent="0.15">
      <c r="C488" s="6"/>
      <c r="D488" s="6"/>
      <c r="E488" s="6"/>
      <c r="F488" s="6"/>
      <c r="G488" s="6"/>
      <c r="H488" s="6"/>
      <c r="I488" s="6"/>
    </row>
    <row r="489" spans="3:9" x14ac:dyDescent="0.15">
      <c r="C489" s="6"/>
      <c r="D489" s="6"/>
      <c r="E489" s="6"/>
      <c r="F489" s="6"/>
      <c r="G489" s="6"/>
      <c r="H489" s="6"/>
      <c r="I489" s="6"/>
    </row>
    <row r="490" spans="3:9" x14ac:dyDescent="0.15">
      <c r="C490" s="6"/>
      <c r="D490" s="6"/>
      <c r="E490" s="6"/>
      <c r="F490" s="6"/>
      <c r="G490" s="6"/>
      <c r="H490" s="6"/>
      <c r="I490" s="6"/>
    </row>
    <row r="491" spans="3:9" x14ac:dyDescent="0.15">
      <c r="C491" s="6"/>
      <c r="D491" s="6"/>
      <c r="E491" s="6"/>
      <c r="F491" s="6"/>
      <c r="G491" s="6"/>
      <c r="H491" s="6"/>
      <c r="I491" s="6"/>
    </row>
    <row r="492" spans="3:9" x14ac:dyDescent="0.15">
      <c r="C492" s="6"/>
      <c r="D492" s="6"/>
      <c r="E492" s="6"/>
      <c r="F492" s="6"/>
      <c r="G492" s="6"/>
      <c r="H492" s="6"/>
      <c r="I492" s="6"/>
    </row>
    <row r="493" spans="3:9" x14ac:dyDescent="0.15">
      <c r="C493" s="6"/>
      <c r="D493" s="6"/>
      <c r="E493" s="6"/>
      <c r="F493" s="6"/>
      <c r="G493" s="6"/>
      <c r="H493" s="6"/>
      <c r="I493" s="6"/>
    </row>
    <row r="494" spans="3:9" x14ac:dyDescent="0.15">
      <c r="C494" s="6"/>
      <c r="D494" s="6"/>
      <c r="E494" s="6"/>
      <c r="F494" s="6"/>
      <c r="G494" s="6"/>
      <c r="H494" s="6"/>
      <c r="I494" s="6"/>
    </row>
    <row r="495" spans="3:9" x14ac:dyDescent="0.15">
      <c r="C495" s="6"/>
      <c r="D495" s="6"/>
      <c r="E495" s="6"/>
      <c r="F495" s="6"/>
      <c r="G495" s="6"/>
      <c r="H495" s="6"/>
      <c r="I495" s="6"/>
    </row>
    <row r="496" spans="3:9" x14ac:dyDescent="0.15">
      <c r="C496" s="6"/>
      <c r="D496" s="6"/>
      <c r="E496" s="6"/>
      <c r="F496" s="6"/>
      <c r="G496" s="6"/>
      <c r="H496" s="6"/>
      <c r="I496" s="6"/>
    </row>
    <row r="497" spans="3:9" x14ac:dyDescent="0.15">
      <c r="C497" s="6"/>
      <c r="D497" s="6"/>
      <c r="E497" s="6"/>
      <c r="F497" s="6"/>
      <c r="G497" s="6"/>
      <c r="H497" s="6"/>
      <c r="I497" s="6"/>
    </row>
    <row r="498" spans="3:9" x14ac:dyDescent="0.15">
      <c r="C498" s="6"/>
      <c r="D498" s="6"/>
      <c r="E498" s="6"/>
      <c r="F498" s="6"/>
      <c r="G498" s="6"/>
      <c r="H498" s="6"/>
      <c r="I498" s="6"/>
    </row>
    <row r="499" spans="3:9" x14ac:dyDescent="0.15">
      <c r="C499" s="6"/>
      <c r="D499" s="6"/>
      <c r="E499" s="6"/>
      <c r="F499" s="6"/>
      <c r="G499" s="6"/>
      <c r="H499" s="6"/>
      <c r="I499" s="6"/>
    </row>
    <row r="500" spans="3:9" x14ac:dyDescent="0.15">
      <c r="C500" s="6"/>
      <c r="D500" s="6"/>
      <c r="E500" s="6"/>
      <c r="F500" s="6"/>
      <c r="G500" s="6"/>
      <c r="H500" s="6"/>
      <c r="I500" s="6"/>
    </row>
    <row r="501" spans="3:9" x14ac:dyDescent="0.15">
      <c r="C501" s="6"/>
      <c r="D501" s="6"/>
      <c r="E501" s="6"/>
      <c r="F501" s="6"/>
      <c r="G501" s="6"/>
      <c r="H501" s="6"/>
      <c r="I501" s="6"/>
    </row>
    <row r="502" spans="3:9" x14ac:dyDescent="0.15">
      <c r="C502" s="6"/>
      <c r="D502" s="6"/>
      <c r="E502" s="6"/>
      <c r="F502" s="6"/>
      <c r="G502" s="6"/>
      <c r="H502" s="6"/>
      <c r="I502" s="6"/>
    </row>
    <row r="503" spans="3:9" x14ac:dyDescent="0.15">
      <c r="C503" s="6"/>
      <c r="D503" s="6"/>
      <c r="E503" s="6"/>
      <c r="F503" s="6"/>
      <c r="G503" s="6"/>
      <c r="H503" s="6"/>
      <c r="I503" s="6"/>
    </row>
    <row r="504" spans="3:9" x14ac:dyDescent="0.15">
      <c r="C504" s="6"/>
      <c r="D504" s="6"/>
      <c r="E504" s="6"/>
      <c r="F504" s="6"/>
      <c r="G504" s="6"/>
      <c r="H504" s="6"/>
      <c r="I504" s="6"/>
    </row>
    <row r="505" spans="3:9" x14ac:dyDescent="0.15">
      <c r="C505" s="6"/>
      <c r="D505" s="6"/>
      <c r="E505" s="6"/>
      <c r="F505" s="6"/>
      <c r="G505" s="6"/>
      <c r="H505" s="6"/>
      <c r="I505" s="6"/>
    </row>
    <row r="506" spans="3:9" x14ac:dyDescent="0.15">
      <c r="C506" s="6"/>
      <c r="D506" s="6"/>
      <c r="E506" s="6"/>
      <c r="F506" s="6"/>
      <c r="G506" s="6"/>
      <c r="H506" s="6"/>
      <c r="I506" s="6"/>
    </row>
    <row r="507" spans="3:9" x14ac:dyDescent="0.15">
      <c r="C507" s="6"/>
      <c r="D507" s="6"/>
      <c r="E507" s="6"/>
      <c r="F507" s="6"/>
      <c r="G507" s="6"/>
      <c r="H507" s="6"/>
      <c r="I507" s="6"/>
    </row>
    <row r="508" spans="3:9" x14ac:dyDescent="0.15">
      <c r="C508" s="6"/>
      <c r="D508" s="6"/>
      <c r="E508" s="6"/>
      <c r="F508" s="6"/>
      <c r="G508" s="6"/>
      <c r="H508" s="6"/>
      <c r="I508" s="6"/>
    </row>
    <row r="509" spans="3:9" x14ac:dyDescent="0.15">
      <c r="C509" s="6"/>
      <c r="D509" s="6"/>
      <c r="E509" s="6"/>
      <c r="F509" s="6"/>
      <c r="G509" s="6"/>
      <c r="H509" s="6"/>
      <c r="I509" s="6"/>
    </row>
    <row r="510" spans="3:9" x14ac:dyDescent="0.15">
      <c r="C510" s="6"/>
      <c r="D510" s="6"/>
      <c r="E510" s="6"/>
      <c r="F510" s="6"/>
      <c r="G510" s="6"/>
      <c r="H510" s="6"/>
      <c r="I510" s="6"/>
    </row>
    <row r="511" spans="3:9" x14ac:dyDescent="0.15">
      <c r="C511" s="6"/>
      <c r="D511" s="6"/>
      <c r="E511" s="6"/>
      <c r="F511" s="6"/>
      <c r="G511" s="6"/>
      <c r="H511" s="6"/>
      <c r="I511" s="6"/>
    </row>
    <row r="512" spans="3:9" x14ac:dyDescent="0.15">
      <c r="C512" s="6"/>
      <c r="D512" s="6"/>
      <c r="E512" s="6"/>
      <c r="F512" s="6"/>
      <c r="G512" s="6"/>
      <c r="H512" s="6"/>
      <c r="I512" s="6"/>
    </row>
    <row r="513" spans="3:9" x14ac:dyDescent="0.15">
      <c r="C513" s="6"/>
      <c r="D513" s="6"/>
      <c r="E513" s="6"/>
      <c r="F513" s="6"/>
      <c r="G513" s="6"/>
      <c r="H513" s="6"/>
      <c r="I513" s="6"/>
    </row>
    <row r="514" spans="3:9" x14ac:dyDescent="0.15">
      <c r="C514" s="6"/>
      <c r="D514" s="6"/>
      <c r="E514" s="6"/>
      <c r="F514" s="6"/>
      <c r="G514" s="6"/>
      <c r="H514" s="6"/>
      <c r="I514" s="6"/>
    </row>
    <row r="515" spans="3:9" x14ac:dyDescent="0.15">
      <c r="C515" s="6"/>
      <c r="D515" s="6"/>
      <c r="E515" s="6"/>
      <c r="F515" s="6"/>
      <c r="G515" s="6"/>
      <c r="H515" s="6"/>
      <c r="I515" s="6"/>
    </row>
    <row r="516" spans="3:9" x14ac:dyDescent="0.15">
      <c r="C516" s="6"/>
      <c r="D516" s="6"/>
      <c r="E516" s="6"/>
      <c r="F516" s="6"/>
      <c r="G516" s="6"/>
      <c r="H516" s="6"/>
      <c r="I516" s="6"/>
    </row>
    <row r="517" spans="3:9" x14ac:dyDescent="0.15">
      <c r="C517" s="6"/>
      <c r="D517" s="6"/>
      <c r="E517" s="6"/>
      <c r="F517" s="6"/>
      <c r="G517" s="6"/>
      <c r="H517" s="6"/>
      <c r="I517" s="6"/>
    </row>
    <row r="518" spans="3:9" x14ac:dyDescent="0.15">
      <c r="C518" s="6"/>
      <c r="D518" s="6"/>
      <c r="E518" s="6"/>
      <c r="F518" s="6"/>
      <c r="G518" s="6"/>
      <c r="H518" s="6"/>
      <c r="I518" s="6"/>
    </row>
    <row r="519" spans="3:9" x14ac:dyDescent="0.15">
      <c r="C519" s="6"/>
      <c r="D519" s="6"/>
      <c r="E519" s="6"/>
      <c r="F519" s="6"/>
      <c r="G519" s="6"/>
      <c r="H519" s="6"/>
      <c r="I519" s="6"/>
    </row>
    <row r="520" spans="3:9" x14ac:dyDescent="0.15">
      <c r="C520" s="6"/>
      <c r="D520" s="6"/>
      <c r="E520" s="6"/>
      <c r="F520" s="6"/>
      <c r="G520" s="6"/>
      <c r="H520" s="6"/>
      <c r="I520" s="6"/>
    </row>
    <row r="521" spans="3:9" x14ac:dyDescent="0.15">
      <c r="C521" s="6"/>
      <c r="D521" s="6"/>
      <c r="E521" s="6"/>
      <c r="F521" s="6"/>
      <c r="G521" s="6"/>
      <c r="H521" s="6"/>
      <c r="I521" s="6"/>
    </row>
    <row r="522" spans="3:9" x14ac:dyDescent="0.15">
      <c r="C522" s="6"/>
      <c r="D522" s="6"/>
      <c r="E522" s="6"/>
      <c r="F522" s="6"/>
      <c r="G522" s="6"/>
      <c r="H522" s="6"/>
      <c r="I522" s="6"/>
    </row>
    <row r="523" spans="3:9" x14ac:dyDescent="0.15">
      <c r="C523" s="6"/>
      <c r="D523" s="6"/>
      <c r="E523" s="6"/>
      <c r="F523" s="6"/>
      <c r="G523" s="6"/>
      <c r="H523" s="6"/>
      <c r="I523" s="6"/>
    </row>
    <row r="524" spans="3:9" x14ac:dyDescent="0.15">
      <c r="C524" s="6"/>
      <c r="D524" s="6"/>
      <c r="E524" s="6"/>
      <c r="F524" s="6"/>
      <c r="G524" s="6"/>
      <c r="H524" s="6"/>
      <c r="I524" s="6"/>
    </row>
    <row r="525" spans="3:9" x14ac:dyDescent="0.15">
      <c r="C525" s="6"/>
      <c r="D525" s="6"/>
      <c r="E525" s="6"/>
      <c r="F525" s="6"/>
      <c r="G525" s="6"/>
      <c r="H525" s="6"/>
      <c r="I525" s="6"/>
    </row>
    <row r="526" spans="3:9" x14ac:dyDescent="0.15">
      <c r="C526" s="6"/>
      <c r="D526" s="6"/>
      <c r="E526" s="6"/>
      <c r="F526" s="6"/>
      <c r="G526" s="6"/>
      <c r="H526" s="6"/>
      <c r="I526" s="6"/>
    </row>
    <row r="527" spans="3:9" x14ac:dyDescent="0.15">
      <c r="C527" s="6"/>
      <c r="D527" s="6"/>
      <c r="E527" s="6"/>
      <c r="F527" s="6"/>
      <c r="G527" s="6"/>
      <c r="H527" s="6"/>
      <c r="I527" s="6"/>
    </row>
    <row r="528" spans="3:9" x14ac:dyDescent="0.15">
      <c r="C528" s="6"/>
      <c r="D528" s="6"/>
      <c r="E528" s="6"/>
      <c r="F528" s="6"/>
      <c r="G528" s="6"/>
      <c r="H528" s="6"/>
      <c r="I528" s="6"/>
    </row>
    <row r="529" spans="3:9" x14ac:dyDescent="0.15">
      <c r="C529" s="6"/>
      <c r="D529" s="6"/>
      <c r="E529" s="6"/>
      <c r="F529" s="6"/>
      <c r="G529" s="6"/>
      <c r="H529" s="6"/>
      <c r="I529" s="6"/>
    </row>
    <row r="530" spans="3:9" x14ac:dyDescent="0.15">
      <c r="C530" s="6"/>
      <c r="D530" s="6"/>
      <c r="E530" s="6"/>
      <c r="F530" s="6"/>
      <c r="G530" s="6"/>
      <c r="H530" s="6"/>
      <c r="I530" s="6"/>
    </row>
    <row r="531" spans="3:9" x14ac:dyDescent="0.15">
      <c r="C531" s="6"/>
      <c r="D531" s="6"/>
      <c r="E531" s="6"/>
      <c r="F531" s="6"/>
      <c r="G531" s="6"/>
      <c r="H531" s="6"/>
      <c r="I531" s="6"/>
    </row>
    <row r="532" spans="3:9" x14ac:dyDescent="0.15">
      <c r="C532" s="6"/>
      <c r="D532" s="6"/>
      <c r="E532" s="6"/>
      <c r="F532" s="6"/>
      <c r="G532" s="6"/>
      <c r="H532" s="6"/>
      <c r="I532" s="6"/>
    </row>
    <row r="533" spans="3:9" x14ac:dyDescent="0.15">
      <c r="C533" s="6"/>
      <c r="D533" s="6"/>
      <c r="E533" s="6"/>
      <c r="F533" s="6"/>
      <c r="G533" s="6"/>
      <c r="H533" s="6"/>
      <c r="I533" s="6"/>
    </row>
    <row r="534" spans="3:9" x14ac:dyDescent="0.15">
      <c r="C534" s="6"/>
      <c r="D534" s="6"/>
      <c r="E534" s="6"/>
      <c r="F534" s="6"/>
      <c r="G534" s="6"/>
      <c r="H534" s="6"/>
      <c r="I534" s="6"/>
    </row>
    <row r="535" spans="3:9" x14ac:dyDescent="0.15">
      <c r="C535" s="6"/>
      <c r="D535" s="6"/>
      <c r="E535" s="6"/>
      <c r="F535" s="6"/>
      <c r="G535" s="6"/>
      <c r="H535" s="6"/>
      <c r="I535" s="6"/>
    </row>
    <row r="536" spans="3:9" x14ac:dyDescent="0.15">
      <c r="C536" s="6"/>
      <c r="D536" s="6"/>
      <c r="E536" s="6"/>
      <c r="F536" s="6"/>
      <c r="G536" s="6"/>
      <c r="H536" s="6"/>
      <c r="I536" s="6"/>
    </row>
    <row r="537" spans="3:9" x14ac:dyDescent="0.15">
      <c r="C537" s="6"/>
      <c r="D537" s="6"/>
      <c r="E537" s="6"/>
      <c r="F537" s="6"/>
      <c r="G537" s="6"/>
      <c r="H537" s="6"/>
      <c r="I537" s="6"/>
    </row>
    <row r="538" spans="3:9" x14ac:dyDescent="0.15">
      <c r="C538" s="6"/>
      <c r="D538" s="6"/>
      <c r="E538" s="6"/>
      <c r="F538" s="6"/>
      <c r="G538" s="6"/>
      <c r="H538" s="6"/>
      <c r="I538" s="6"/>
    </row>
    <row r="539" spans="3:9" x14ac:dyDescent="0.15">
      <c r="C539" s="6"/>
      <c r="D539" s="6"/>
      <c r="E539" s="6"/>
      <c r="F539" s="6"/>
      <c r="G539" s="6"/>
      <c r="H539" s="6"/>
      <c r="I539" s="6"/>
    </row>
    <row r="540" spans="3:9" x14ac:dyDescent="0.15">
      <c r="C540" s="6"/>
      <c r="D540" s="6"/>
      <c r="E540" s="6"/>
      <c r="F540" s="6"/>
      <c r="G540" s="6"/>
      <c r="H540" s="6"/>
      <c r="I540" s="6"/>
    </row>
    <row r="541" spans="3:9" x14ac:dyDescent="0.15">
      <c r="C541" s="6"/>
      <c r="D541" s="6"/>
      <c r="E541" s="6"/>
      <c r="F541" s="6"/>
      <c r="G541" s="6"/>
      <c r="H541" s="6"/>
      <c r="I541" s="6"/>
    </row>
    <row r="542" spans="3:9" x14ac:dyDescent="0.15">
      <c r="C542" s="6"/>
      <c r="D542" s="6"/>
      <c r="E542" s="6"/>
      <c r="F542" s="6"/>
      <c r="G542" s="6"/>
      <c r="H542" s="6"/>
      <c r="I542" s="6"/>
    </row>
    <row r="543" spans="3:9" x14ac:dyDescent="0.15">
      <c r="C543" s="6"/>
      <c r="D543" s="6"/>
      <c r="E543" s="6"/>
      <c r="F543" s="6"/>
      <c r="G543" s="6"/>
      <c r="H543" s="6"/>
      <c r="I543" s="6"/>
    </row>
    <row r="544" spans="3:9" x14ac:dyDescent="0.15">
      <c r="C544" s="6"/>
      <c r="D544" s="6"/>
      <c r="E544" s="6"/>
      <c r="F544" s="6"/>
      <c r="G544" s="6"/>
      <c r="H544" s="6"/>
      <c r="I544" s="6"/>
    </row>
    <row r="545" spans="3:9" x14ac:dyDescent="0.15">
      <c r="C545" s="6"/>
      <c r="D545" s="6"/>
      <c r="E545" s="6"/>
      <c r="F545" s="6"/>
      <c r="G545" s="6"/>
      <c r="H545" s="6"/>
      <c r="I545" s="6"/>
    </row>
    <row r="546" spans="3:9" x14ac:dyDescent="0.15">
      <c r="C546" s="6"/>
      <c r="D546" s="6"/>
      <c r="E546" s="6"/>
      <c r="F546" s="6"/>
      <c r="G546" s="6"/>
      <c r="H546" s="6"/>
      <c r="I546" s="6"/>
    </row>
    <row r="547" spans="3:9" x14ac:dyDescent="0.15">
      <c r="C547" s="6"/>
      <c r="D547" s="6"/>
      <c r="E547" s="6"/>
      <c r="F547" s="6"/>
      <c r="G547" s="6"/>
      <c r="H547" s="6"/>
      <c r="I547" s="6"/>
    </row>
    <row r="548" spans="3:9" x14ac:dyDescent="0.15">
      <c r="C548" s="6"/>
      <c r="D548" s="6"/>
      <c r="E548" s="6"/>
      <c r="F548" s="6"/>
      <c r="G548" s="6"/>
      <c r="H548" s="6"/>
      <c r="I548" s="6"/>
    </row>
    <row r="549" spans="3:9" x14ac:dyDescent="0.15">
      <c r="C549" s="6"/>
      <c r="D549" s="6"/>
      <c r="E549" s="6"/>
      <c r="F549" s="6"/>
      <c r="G549" s="6"/>
      <c r="H549" s="6"/>
      <c r="I549" s="6"/>
    </row>
    <row r="550" spans="3:9" x14ac:dyDescent="0.15">
      <c r="C550" s="6"/>
      <c r="D550" s="6"/>
      <c r="E550" s="6"/>
      <c r="F550" s="6"/>
      <c r="G550" s="6"/>
      <c r="H550" s="6"/>
      <c r="I550" s="6"/>
    </row>
    <row r="551" spans="3:9" x14ac:dyDescent="0.15">
      <c r="C551" s="6"/>
      <c r="D551" s="6"/>
      <c r="E551" s="6"/>
      <c r="F551" s="6"/>
      <c r="G551" s="6"/>
      <c r="H551" s="6"/>
      <c r="I551" s="6"/>
    </row>
    <row r="552" spans="3:9" x14ac:dyDescent="0.15">
      <c r="C552" s="6"/>
      <c r="D552" s="6"/>
      <c r="E552" s="6"/>
      <c r="F552" s="6"/>
      <c r="G552" s="6"/>
      <c r="H552" s="6"/>
      <c r="I552" s="6"/>
    </row>
    <row r="553" spans="3:9" x14ac:dyDescent="0.15">
      <c r="C553" s="6"/>
      <c r="D553" s="6"/>
      <c r="E553" s="6"/>
      <c r="F553" s="6"/>
      <c r="G553" s="6"/>
      <c r="H553" s="6"/>
      <c r="I553" s="6"/>
    </row>
    <row r="554" spans="3:9" x14ac:dyDescent="0.15">
      <c r="C554" s="6"/>
      <c r="D554" s="6"/>
      <c r="E554" s="6"/>
      <c r="F554" s="6"/>
      <c r="G554" s="6"/>
      <c r="H554" s="6"/>
      <c r="I554" s="6"/>
    </row>
    <row r="555" spans="3:9" x14ac:dyDescent="0.15">
      <c r="C555" s="6"/>
      <c r="D555" s="6"/>
      <c r="E555" s="6"/>
      <c r="F555" s="6"/>
      <c r="G555" s="6"/>
      <c r="H555" s="6"/>
      <c r="I555" s="6"/>
    </row>
    <row r="556" spans="3:9" x14ac:dyDescent="0.15">
      <c r="C556" s="6"/>
      <c r="D556" s="6"/>
      <c r="E556" s="6"/>
      <c r="F556" s="6"/>
      <c r="G556" s="6"/>
      <c r="H556" s="6"/>
      <c r="I556" s="6"/>
    </row>
    <row r="557" spans="3:9" x14ac:dyDescent="0.15">
      <c r="C557" s="6"/>
      <c r="D557" s="6"/>
      <c r="E557" s="6"/>
      <c r="F557" s="6"/>
      <c r="G557" s="6"/>
      <c r="H557" s="6"/>
      <c r="I557" s="6"/>
    </row>
    <row r="558" spans="3:9" x14ac:dyDescent="0.15">
      <c r="C558" s="6"/>
      <c r="D558" s="6"/>
      <c r="E558" s="6"/>
      <c r="F558" s="6"/>
      <c r="G558" s="6"/>
      <c r="H558" s="6"/>
      <c r="I558" s="6"/>
    </row>
    <row r="559" spans="3:9" x14ac:dyDescent="0.15">
      <c r="C559" s="6"/>
      <c r="D559" s="6"/>
      <c r="E559" s="6"/>
      <c r="F559" s="6"/>
      <c r="G559" s="6"/>
      <c r="H559" s="6"/>
      <c r="I559" s="6"/>
    </row>
    <row r="560" spans="3:9" x14ac:dyDescent="0.15">
      <c r="C560" s="6"/>
      <c r="D560" s="6"/>
      <c r="E560" s="6"/>
      <c r="F560" s="6"/>
      <c r="G560" s="6"/>
      <c r="H560" s="6"/>
      <c r="I560" s="6"/>
    </row>
    <row r="561" spans="3:9" x14ac:dyDescent="0.15">
      <c r="C561" s="6"/>
      <c r="D561" s="6"/>
      <c r="E561" s="6"/>
      <c r="F561" s="6"/>
      <c r="G561" s="6"/>
      <c r="H561" s="6"/>
      <c r="I561" s="6"/>
    </row>
    <row r="562" spans="3:9" x14ac:dyDescent="0.15">
      <c r="C562" s="6"/>
      <c r="D562" s="6"/>
      <c r="E562" s="6"/>
      <c r="F562" s="6"/>
      <c r="G562" s="6"/>
      <c r="H562" s="6"/>
      <c r="I562" s="6"/>
    </row>
    <row r="563" spans="3:9" x14ac:dyDescent="0.15">
      <c r="C563" s="6"/>
      <c r="D563" s="6"/>
      <c r="E563" s="6"/>
      <c r="F563" s="6"/>
      <c r="G563" s="6"/>
      <c r="H563" s="6"/>
      <c r="I563" s="6"/>
    </row>
    <row r="564" spans="3:9" x14ac:dyDescent="0.15">
      <c r="C564" s="6"/>
      <c r="D564" s="6"/>
      <c r="E564" s="6"/>
      <c r="F564" s="6"/>
      <c r="G564" s="6"/>
      <c r="H564" s="6"/>
      <c r="I564" s="6"/>
    </row>
    <row r="565" spans="3:9" x14ac:dyDescent="0.15">
      <c r="C565" s="6"/>
      <c r="D565" s="6"/>
      <c r="E565" s="6"/>
      <c r="F565" s="6"/>
      <c r="G565" s="6"/>
      <c r="H565" s="6"/>
      <c r="I565" s="6"/>
    </row>
    <row r="566" spans="3:9" x14ac:dyDescent="0.15">
      <c r="C566" s="6"/>
      <c r="D566" s="6"/>
      <c r="E566" s="6"/>
      <c r="F566" s="6"/>
      <c r="G566" s="6"/>
      <c r="H566" s="6"/>
      <c r="I566" s="6"/>
    </row>
    <row r="567" spans="3:9" x14ac:dyDescent="0.15">
      <c r="C567" s="6"/>
      <c r="D567" s="6"/>
      <c r="E567" s="6"/>
      <c r="F567" s="6"/>
      <c r="G567" s="6"/>
      <c r="H567" s="6"/>
      <c r="I567" s="6"/>
    </row>
    <row r="568" spans="3:9" x14ac:dyDescent="0.15">
      <c r="C568" s="6"/>
      <c r="D568" s="6"/>
      <c r="E568" s="6"/>
      <c r="F568" s="6"/>
      <c r="G568" s="6"/>
      <c r="H568" s="6"/>
      <c r="I568" s="6"/>
    </row>
    <row r="569" spans="3:9" x14ac:dyDescent="0.15">
      <c r="C569" s="6"/>
      <c r="D569" s="6"/>
      <c r="E569" s="6"/>
      <c r="F569" s="6"/>
      <c r="G569" s="6"/>
      <c r="H569" s="6"/>
      <c r="I569" s="6"/>
    </row>
    <row r="570" spans="3:9" x14ac:dyDescent="0.15">
      <c r="C570" s="6"/>
      <c r="D570" s="6"/>
      <c r="E570" s="6"/>
      <c r="F570" s="6"/>
      <c r="G570" s="6"/>
      <c r="H570" s="6"/>
      <c r="I570" s="6"/>
    </row>
    <row r="571" spans="3:9" x14ac:dyDescent="0.15">
      <c r="C571" s="6"/>
      <c r="D571" s="6"/>
      <c r="E571" s="6"/>
      <c r="F571" s="6"/>
      <c r="G571" s="6"/>
      <c r="H571" s="6"/>
      <c r="I571" s="6"/>
    </row>
    <row r="572" spans="3:9" x14ac:dyDescent="0.15">
      <c r="C572" s="6"/>
      <c r="D572" s="6"/>
      <c r="E572" s="6"/>
      <c r="F572" s="6"/>
      <c r="G572" s="6"/>
      <c r="H572" s="6"/>
      <c r="I572" s="6"/>
    </row>
    <row r="573" spans="3:9" x14ac:dyDescent="0.15">
      <c r="C573" s="6"/>
      <c r="D573" s="6"/>
      <c r="E573" s="6"/>
      <c r="F573" s="6"/>
      <c r="G573" s="6"/>
      <c r="H573" s="6"/>
      <c r="I573" s="6"/>
    </row>
    <row r="574" spans="3:9" x14ac:dyDescent="0.15">
      <c r="C574" s="6"/>
      <c r="D574" s="6"/>
      <c r="E574" s="6"/>
      <c r="F574" s="6"/>
      <c r="G574" s="6"/>
      <c r="H574" s="6"/>
      <c r="I574" s="6"/>
    </row>
    <row r="575" spans="3:9" x14ac:dyDescent="0.15">
      <c r="C575" s="6"/>
      <c r="D575" s="6"/>
      <c r="E575" s="6"/>
      <c r="F575" s="6"/>
      <c r="G575" s="6"/>
      <c r="H575" s="6"/>
      <c r="I575" s="6"/>
    </row>
    <row r="576" spans="3:9" x14ac:dyDescent="0.15">
      <c r="C576" s="6"/>
      <c r="D576" s="6"/>
      <c r="E576" s="6"/>
      <c r="F576" s="6"/>
      <c r="G576" s="6"/>
      <c r="H576" s="6"/>
      <c r="I576" s="6"/>
    </row>
    <row r="577" spans="3:9" x14ac:dyDescent="0.15">
      <c r="C577" s="6"/>
      <c r="D577" s="6"/>
      <c r="E577" s="6"/>
      <c r="F577" s="6"/>
      <c r="G577" s="6"/>
      <c r="H577" s="6"/>
      <c r="I577" s="6"/>
    </row>
    <row r="578" spans="3:9" x14ac:dyDescent="0.15">
      <c r="C578" s="6"/>
      <c r="D578" s="6"/>
      <c r="E578" s="6"/>
      <c r="F578" s="6"/>
      <c r="G578" s="6"/>
      <c r="H578" s="6"/>
      <c r="I578" s="6"/>
    </row>
    <row r="579" spans="3:9" x14ac:dyDescent="0.15">
      <c r="C579" s="6"/>
      <c r="D579" s="6"/>
      <c r="E579" s="6"/>
      <c r="F579" s="6"/>
      <c r="G579" s="6"/>
      <c r="H579" s="6"/>
      <c r="I579" s="6"/>
    </row>
    <row r="580" spans="3:9" x14ac:dyDescent="0.15">
      <c r="C580" s="6"/>
      <c r="D580" s="6"/>
      <c r="E580" s="6"/>
      <c r="F580" s="6"/>
      <c r="G580" s="6"/>
      <c r="H580" s="6"/>
      <c r="I580" s="6"/>
    </row>
    <row r="581" spans="3:9" x14ac:dyDescent="0.15">
      <c r="C581" s="6"/>
      <c r="D581" s="6"/>
      <c r="E581" s="6"/>
      <c r="F581" s="6"/>
      <c r="G581" s="6"/>
      <c r="H581" s="6"/>
      <c r="I581" s="6"/>
    </row>
    <row r="582" spans="3:9" x14ac:dyDescent="0.15">
      <c r="C582" s="6"/>
      <c r="D582" s="6"/>
      <c r="E582" s="6"/>
      <c r="F582" s="6"/>
      <c r="G582" s="6"/>
      <c r="H582" s="6"/>
      <c r="I582" s="6"/>
    </row>
    <row r="583" spans="3:9" x14ac:dyDescent="0.15">
      <c r="C583" s="6"/>
      <c r="D583" s="6"/>
      <c r="E583" s="6"/>
      <c r="F583" s="6"/>
      <c r="G583" s="6"/>
      <c r="H583" s="6"/>
      <c r="I583" s="6"/>
    </row>
    <row r="584" spans="3:9" x14ac:dyDescent="0.15">
      <c r="C584" s="6"/>
      <c r="D584" s="6"/>
      <c r="E584" s="6"/>
      <c r="F584" s="6"/>
      <c r="G584" s="6"/>
      <c r="H584" s="6"/>
      <c r="I584" s="6"/>
    </row>
    <row r="585" spans="3:9" x14ac:dyDescent="0.15">
      <c r="C585" s="6"/>
      <c r="D585" s="6"/>
      <c r="E585" s="6"/>
      <c r="F585" s="6"/>
      <c r="G585" s="6"/>
      <c r="H585" s="6"/>
      <c r="I585" s="6"/>
    </row>
    <row r="586" spans="3:9" x14ac:dyDescent="0.15">
      <c r="C586" s="6"/>
      <c r="D586" s="6"/>
      <c r="E586" s="6"/>
      <c r="F586" s="6"/>
      <c r="G586" s="6"/>
      <c r="H586" s="6"/>
      <c r="I586" s="6"/>
    </row>
    <row r="587" spans="3:9" x14ac:dyDescent="0.15">
      <c r="C587" s="6"/>
      <c r="D587" s="6"/>
      <c r="E587" s="6"/>
      <c r="F587" s="6"/>
      <c r="G587" s="6"/>
      <c r="H587" s="6"/>
      <c r="I587" s="6"/>
    </row>
    <row r="588" spans="3:9" x14ac:dyDescent="0.15">
      <c r="C588" s="6"/>
      <c r="D588" s="6"/>
      <c r="E588" s="6"/>
      <c r="F588" s="6"/>
      <c r="G588" s="6"/>
      <c r="H588" s="6"/>
      <c r="I588" s="6"/>
    </row>
    <row r="589" spans="3:9" x14ac:dyDescent="0.15">
      <c r="C589" s="6"/>
      <c r="D589" s="6"/>
      <c r="E589" s="6"/>
      <c r="F589" s="6"/>
      <c r="G589" s="6"/>
      <c r="H589" s="6"/>
      <c r="I589" s="6"/>
    </row>
    <row r="590" spans="3:9" x14ac:dyDescent="0.15">
      <c r="C590" s="6"/>
      <c r="D590" s="6"/>
      <c r="E590" s="6"/>
      <c r="F590" s="6"/>
      <c r="G590" s="6"/>
      <c r="H590" s="6"/>
      <c r="I590" s="6"/>
    </row>
    <row r="591" spans="3:9" x14ac:dyDescent="0.15">
      <c r="C591" s="6"/>
      <c r="D591" s="6"/>
      <c r="E591" s="6"/>
      <c r="F591" s="6"/>
      <c r="G591" s="6"/>
      <c r="H591" s="6"/>
      <c r="I591" s="6"/>
    </row>
    <row r="592" spans="3:9" x14ac:dyDescent="0.15">
      <c r="C592" s="6"/>
      <c r="D592" s="6"/>
      <c r="E592" s="6"/>
      <c r="F592" s="6"/>
      <c r="G592" s="6"/>
      <c r="H592" s="6"/>
      <c r="I592" s="6"/>
    </row>
    <row r="593" spans="3:9" x14ac:dyDescent="0.15">
      <c r="C593" s="6"/>
      <c r="D593" s="6"/>
      <c r="E593" s="6"/>
      <c r="F593" s="6"/>
      <c r="G593" s="6"/>
      <c r="H593" s="6"/>
      <c r="I593" s="6"/>
    </row>
    <row r="594" spans="3:9" x14ac:dyDescent="0.15">
      <c r="C594" s="6"/>
      <c r="D594" s="6"/>
      <c r="E594" s="6"/>
      <c r="F594" s="6"/>
      <c r="G594" s="6"/>
      <c r="H594" s="6"/>
      <c r="I594" s="6"/>
    </row>
    <row r="595" spans="3:9" x14ac:dyDescent="0.15">
      <c r="C595" s="6"/>
      <c r="D595" s="6"/>
      <c r="E595" s="6"/>
      <c r="F595" s="6"/>
      <c r="G595" s="6"/>
      <c r="H595" s="6"/>
      <c r="I595" s="6"/>
    </row>
    <row r="596" spans="3:9" x14ac:dyDescent="0.15">
      <c r="C596" s="6"/>
      <c r="D596" s="6"/>
      <c r="E596" s="6"/>
      <c r="F596" s="6"/>
      <c r="G596" s="6"/>
      <c r="H596" s="6"/>
      <c r="I596" s="6"/>
    </row>
    <row r="597" spans="3:9" x14ac:dyDescent="0.15">
      <c r="C597" s="6"/>
      <c r="D597" s="6"/>
      <c r="E597" s="6"/>
      <c r="F597" s="6"/>
      <c r="G597" s="6"/>
      <c r="H597" s="6"/>
      <c r="I597" s="6"/>
    </row>
    <row r="598" spans="3:9" x14ac:dyDescent="0.15">
      <c r="C598" s="6"/>
      <c r="D598" s="6"/>
      <c r="E598" s="6"/>
      <c r="F598" s="6"/>
      <c r="G598" s="6"/>
      <c r="H598" s="6"/>
      <c r="I598" s="6"/>
    </row>
    <row r="599" spans="3:9" x14ac:dyDescent="0.15">
      <c r="C599" s="6"/>
      <c r="D599" s="6"/>
      <c r="E599" s="6"/>
      <c r="F599" s="6"/>
      <c r="G599" s="6"/>
      <c r="H599" s="6"/>
      <c r="I599" s="6"/>
    </row>
    <row r="600" spans="3:9" x14ac:dyDescent="0.15">
      <c r="C600" s="6"/>
      <c r="D600" s="6"/>
      <c r="E600" s="6"/>
      <c r="F600" s="6"/>
      <c r="G600" s="6"/>
      <c r="H600" s="6"/>
      <c r="I600" s="6"/>
    </row>
    <row r="601" spans="3:9" x14ac:dyDescent="0.15">
      <c r="C601" s="6"/>
      <c r="D601" s="6"/>
      <c r="E601" s="6"/>
      <c r="F601" s="6"/>
      <c r="G601" s="6"/>
      <c r="H601" s="6"/>
      <c r="I601" s="6"/>
    </row>
    <row r="602" spans="3:9" x14ac:dyDescent="0.15">
      <c r="C602" s="6"/>
      <c r="D602" s="6"/>
      <c r="E602" s="6"/>
      <c r="F602" s="6"/>
      <c r="G602" s="6"/>
      <c r="H602" s="6"/>
      <c r="I602" s="6"/>
    </row>
    <row r="603" spans="3:9" x14ac:dyDescent="0.15">
      <c r="C603" s="6"/>
      <c r="D603" s="6"/>
      <c r="E603" s="6"/>
      <c r="F603" s="6"/>
      <c r="G603" s="6"/>
      <c r="H603" s="6"/>
      <c r="I603" s="6"/>
    </row>
    <row r="604" spans="3:9" x14ac:dyDescent="0.15">
      <c r="C604" s="6"/>
      <c r="D604" s="6"/>
      <c r="E604" s="6"/>
      <c r="F604" s="6"/>
      <c r="G604" s="6"/>
      <c r="H604" s="6"/>
      <c r="I604" s="6"/>
    </row>
    <row r="605" spans="3:9" x14ac:dyDescent="0.15">
      <c r="C605" s="6"/>
      <c r="D605" s="6"/>
      <c r="E605" s="6"/>
      <c r="F605" s="6"/>
      <c r="G605" s="6"/>
      <c r="H605" s="6"/>
      <c r="I605" s="6"/>
    </row>
    <row r="606" spans="3:9" x14ac:dyDescent="0.15">
      <c r="C606" s="6"/>
      <c r="D606" s="6"/>
      <c r="E606" s="6"/>
      <c r="F606" s="6"/>
      <c r="G606" s="6"/>
      <c r="H606" s="6"/>
      <c r="I606" s="6"/>
    </row>
    <row r="607" spans="3:9" x14ac:dyDescent="0.15">
      <c r="C607" s="6"/>
      <c r="D607" s="6"/>
      <c r="E607" s="6"/>
      <c r="F607" s="6"/>
      <c r="G607" s="6"/>
      <c r="H607" s="6"/>
      <c r="I607" s="6"/>
    </row>
    <row r="608" spans="3:9" x14ac:dyDescent="0.15">
      <c r="C608" s="6"/>
      <c r="D608" s="6"/>
      <c r="E608" s="6"/>
      <c r="F608" s="6"/>
      <c r="G608" s="6"/>
      <c r="H608" s="6"/>
      <c r="I608" s="6"/>
    </row>
    <row r="609" spans="3:9" x14ac:dyDescent="0.15">
      <c r="C609" s="6"/>
      <c r="D609" s="6"/>
      <c r="E609" s="6"/>
      <c r="F609" s="6"/>
      <c r="G609" s="6"/>
      <c r="H609" s="6"/>
      <c r="I609" s="6"/>
    </row>
    <row r="610" spans="3:9" x14ac:dyDescent="0.15">
      <c r="C610" s="6"/>
      <c r="D610" s="6"/>
      <c r="E610" s="6"/>
      <c r="F610" s="6"/>
      <c r="G610" s="6"/>
      <c r="H610" s="6"/>
      <c r="I610" s="6"/>
    </row>
    <row r="611" spans="3:9" x14ac:dyDescent="0.15">
      <c r="C611" s="6"/>
      <c r="D611" s="6"/>
      <c r="E611" s="6"/>
      <c r="F611" s="6"/>
      <c r="G611" s="6"/>
      <c r="H611" s="6"/>
      <c r="I611" s="6"/>
    </row>
    <row r="612" spans="3:9" x14ac:dyDescent="0.15">
      <c r="C612" s="6"/>
      <c r="D612" s="6"/>
      <c r="E612" s="6"/>
      <c r="F612" s="6"/>
      <c r="G612" s="6"/>
      <c r="H612" s="6"/>
      <c r="I612" s="6"/>
    </row>
    <row r="613" spans="3:9" x14ac:dyDescent="0.15">
      <c r="C613" s="6"/>
      <c r="D613" s="6"/>
      <c r="E613" s="6"/>
      <c r="F613" s="6"/>
      <c r="G613" s="6"/>
      <c r="H613" s="6"/>
      <c r="I613" s="6"/>
    </row>
    <row r="614" spans="3:9" x14ac:dyDescent="0.15">
      <c r="C614" s="6"/>
      <c r="D614" s="6"/>
      <c r="E614" s="6"/>
      <c r="F614" s="6"/>
      <c r="G614" s="6"/>
      <c r="H614" s="6"/>
      <c r="I614" s="6"/>
    </row>
    <row r="615" spans="3:9" x14ac:dyDescent="0.15">
      <c r="C615" s="6"/>
      <c r="D615" s="6"/>
      <c r="E615" s="6"/>
      <c r="F615" s="6"/>
      <c r="G615" s="6"/>
      <c r="H615" s="6"/>
      <c r="I615" s="6"/>
    </row>
    <row r="616" spans="3:9" x14ac:dyDescent="0.15">
      <c r="C616" s="6"/>
      <c r="D616" s="6"/>
      <c r="E616" s="6"/>
      <c r="F616" s="6"/>
      <c r="G616" s="6"/>
      <c r="H616" s="6"/>
      <c r="I616" s="6"/>
    </row>
    <row r="617" spans="3:9" x14ac:dyDescent="0.15">
      <c r="C617" s="6"/>
      <c r="D617" s="6"/>
      <c r="E617" s="6"/>
      <c r="F617" s="6"/>
      <c r="G617" s="6"/>
      <c r="H617" s="6"/>
      <c r="I617" s="6"/>
    </row>
    <row r="618" spans="3:9" x14ac:dyDescent="0.15">
      <c r="C618" s="6"/>
      <c r="D618" s="6"/>
      <c r="E618" s="6"/>
      <c r="F618" s="6"/>
      <c r="G618" s="6"/>
      <c r="H618" s="6"/>
      <c r="I618" s="6"/>
    </row>
    <row r="619" spans="3:9" x14ac:dyDescent="0.15">
      <c r="C619" s="6"/>
      <c r="D619" s="6"/>
      <c r="E619" s="6"/>
      <c r="F619" s="6"/>
      <c r="G619" s="6"/>
      <c r="H619" s="6"/>
      <c r="I619" s="6"/>
    </row>
    <row r="620" spans="3:9" x14ac:dyDescent="0.15">
      <c r="C620" s="6"/>
      <c r="D620" s="6"/>
      <c r="E620" s="6"/>
      <c r="F620" s="6"/>
      <c r="G620" s="6"/>
      <c r="H620" s="6"/>
      <c r="I620" s="6"/>
    </row>
    <row r="621" spans="3:9" x14ac:dyDescent="0.15">
      <c r="C621" s="6"/>
      <c r="D621" s="6"/>
      <c r="E621" s="6"/>
      <c r="F621" s="6"/>
      <c r="G621" s="6"/>
      <c r="H621" s="6"/>
      <c r="I621" s="6"/>
    </row>
    <row r="622" spans="3:9" x14ac:dyDescent="0.15">
      <c r="C622" s="6"/>
      <c r="D622" s="6"/>
      <c r="E622" s="6"/>
      <c r="F622" s="6"/>
      <c r="G622" s="6"/>
      <c r="H622" s="6"/>
      <c r="I622" s="6"/>
    </row>
    <row r="623" spans="3:9" x14ac:dyDescent="0.15">
      <c r="C623" s="6"/>
      <c r="D623" s="6"/>
      <c r="E623" s="6"/>
      <c r="F623" s="6"/>
      <c r="G623" s="6"/>
      <c r="H623" s="6"/>
      <c r="I623" s="6"/>
    </row>
    <row r="624" spans="3:9" x14ac:dyDescent="0.15">
      <c r="C624" s="6"/>
      <c r="D624" s="6"/>
      <c r="E624" s="6"/>
      <c r="F624" s="6"/>
      <c r="G624" s="6"/>
      <c r="H624" s="6"/>
      <c r="I624" s="6"/>
    </row>
    <row r="625" spans="3:9" x14ac:dyDescent="0.15">
      <c r="C625" s="6"/>
      <c r="D625" s="6"/>
      <c r="E625" s="6"/>
      <c r="F625" s="6"/>
      <c r="G625" s="6"/>
      <c r="H625" s="6"/>
      <c r="I625" s="6"/>
    </row>
    <row r="626" spans="3:9" x14ac:dyDescent="0.15">
      <c r="C626" s="6"/>
      <c r="D626" s="6"/>
      <c r="E626" s="6"/>
      <c r="F626" s="6"/>
      <c r="G626" s="6"/>
      <c r="H626" s="6"/>
      <c r="I626" s="6"/>
    </row>
    <row r="627" spans="3:9" x14ac:dyDescent="0.15">
      <c r="C627" s="6"/>
      <c r="D627" s="6"/>
      <c r="E627" s="6"/>
      <c r="F627" s="6"/>
      <c r="G627" s="6"/>
      <c r="H627" s="6"/>
      <c r="I627" s="6"/>
    </row>
    <row r="628" spans="3:9" x14ac:dyDescent="0.15">
      <c r="C628" s="6"/>
      <c r="D628" s="6"/>
      <c r="E628" s="6"/>
      <c r="F628" s="6"/>
      <c r="G628" s="6"/>
      <c r="H628" s="6"/>
      <c r="I628" s="6"/>
    </row>
    <row r="629" spans="3:9" x14ac:dyDescent="0.15">
      <c r="C629" s="6"/>
      <c r="D629" s="6"/>
      <c r="E629" s="6"/>
      <c r="F629" s="6"/>
      <c r="G629" s="6"/>
      <c r="H629" s="6"/>
      <c r="I629" s="6"/>
    </row>
    <row r="630" spans="3:9" x14ac:dyDescent="0.15">
      <c r="C630" s="6"/>
      <c r="D630" s="6"/>
      <c r="E630" s="6"/>
      <c r="F630" s="6"/>
      <c r="G630" s="6"/>
      <c r="H630" s="6"/>
      <c r="I630" s="6"/>
    </row>
    <row r="631" spans="3:9" x14ac:dyDescent="0.15">
      <c r="C631" s="6"/>
      <c r="D631" s="6"/>
      <c r="E631" s="6"/>
      <c r="F631" s="6"/>
      <c r="G631" s="6"/>
      <c r="H631" s="6"/>
      <c r="I631" s="6"/>
    </row>
    <row r="632" spans="3:9" x14ac:dyDescent="0.15">
      <c r="C632" s="6"/>
      <c r="D632" s="6"/>
      <c r="E632" s="6"/>
      <c r="F632" s="6"/>
      <c r="G632" s="6"/>
      <c r="H632" s="6"/>
      <c r="I632" s="6"/>
    </row>
    <row r="633" spans="3:9" x14ac:dyDescent="0.15">
      <c r="C633" s="6"/>
      <c r="D633" s="6"/>
      <c r="E633" s="6"/>
      <c r="F633" s="6"/>
      <c r="G633" s="6"/>
      <c r="H633" s="6"/>
      <c r="I633" s="6"/>
    </row>
    <row r="634" spans="3:9" x14ac:dyDescent="0.15">
      <c r="C634" s="6"/>
      <c r="D634" s="6"/>
      <c r="E634" s="6"/>
      <c r="F634" s="6"/>
      <c r="G634" s="6"/>
      <c r="H634" s="6"/>
      <c r="I634" s="6"/>
    </row>
    <row r="635" spans="3:9" x14ac:dyDescent="0.15">
      <c r="C635" s="6"/>
      <c r="D635" s="6"/>
      <c r="E635" s="6"/>
      <c r="F635" s="6"/>
      <c r="G635" s="6"/>
      <c r="H635" s="6"/>
      <c r="I635" s="6"/>
    </row>
    <row r="636" spans="3:9" x14ac:dyDescent="0.15">
      <c r="C636" s="6"/>
      <c r="D636" s="6"/>
      <c r="E636" s="6"/>
      <c r="F636" s="6"/>
      <c r="G636" s="6"/>
      <c r="H636" s="6"/>
      <c r="I636" s="6"/>
    </row>
    <row r="637" spans="3:9" x14ac:dyDescent="0.15">
      <c r="C637" s="6"/>
      <c r="D637" s="6"/>
      <c r="E637" s="6"/>
      <c r="F637" s="6"/>
      <c r="G637" s="6"/>
      <c r="H637" s="6"/>
      <c r="I637" s="6"/>
    </row>
    <row r="638" spans="3:9" x14ac:dyDescent="0.15">
      <c r="C638" s="6"/>
      <c r="D638" s="6"/>
      <c r="E638" s="6"/>
      <c r="F638" s="6"/>
      <c r="G638" s="6"/>
      <c r="H638" s="6"/>
      <c r="I638" s="6"/>
    </row>
    <row r="639" spans="3:9" x14ac:dyDescent="0.15">
      <c r="C639" s="6"/>
      <c r="D639" s="6"/>
      <c r="E639" s="6"/>
      <c r="F639" s="6"/>
      <c r="G639" s="6"/>
      <c r="H639" s="6"/>
      <c r="I639" s="6"/>
    </row>
    <row r="640" spans="3:9" x14ac:dyDescent="0.15">
      <c r="C640" s="6"/>
      <c r="D640" s="6"/>
      <c r="E640" s="6"/>
      <c r="F640" s="6"/>
      <c r="G640" s="6"/>
      <c r="H640" s="6"/>
      <c r="I640" s="6"/>
    </row>
    <row r="641" spans="3:9" x14ac:dyDescent="0.15">
      <c r="C641" s="6"/>
      <c r="D641" s="6"/>
      <c r="E641" s="6"/>
      <c r="F641" s="6"/>
      <c r="G641" s="6"/>
      <c r="H641" s="6"/>
      <c r="I641" s="6"/>
    </row>
    <row r="642" spans="3:9" x14ac:dyDescent="0.15">
      <c r="C642" s="6"/>
      <c r="D642" s="6"/>
      <c r="E642" s="6"/>
      <c r="F642" s="6"/>
      <c r="G642" s="6"/>
      <c r="H642" s="6"/>
      <c r="I642" s="6"/>
    </row>
    <row r="643" spans="3:9" x14ac:dyDescent="0.15">
      <c r="C643" s="6"/>
      <c r="D643" s="6"/>
      <c r="E643" s="6"/>
      <c r="F643" s="6"/>
      <c r="G643" s="6"/>
      <c r="H643" s="6"/>
      <c r="I643" s="6"/>
    </row>
    <row r="644" spans="3:9" x14ac:dyDescent="0.15">
      <c r="C644" s="6"/>
      <c r="D644" s="6"/>
      <c r="E644" s="6"/>
      <c r="F644" s="6"/>
      <c r="G644" s="6"/>
      <c r="H644" s="6"/>
      <c r="I644" s="6"/>
    </row>
    <row r="645" spans="3:9" x14ac:dyDescent="0.15">
      <c r="C645" s="6"/>
      <c r="D645" s="6"/>
      <c r="E645" s="6"/>
      <c r="F645" s="6"/>
      <c r="G645" s="6"/>
      <c r="H645" s="6"/>
      <c r="I645" s="6"/>
    </row>
    <row r="646" spans="3:9" x14ac:dyDescent="0.15">
      <c r="C646" s="6"/>
      <c r="D646" s="6"/>
      <c r="E646" s="6"/>
      <c r="F646" s="6"/>
      <c r="G646" s="6"/>
      <c r="H646" s="6"/>
      <c r="I646" s="6"/>
    </row>
    <row r="647" spans="3:9" x14ac:dyDescent="0.15">
      <c r="C647" s="6"/>
      <c r="D647" s="6"/>
      <c r="E647" s="6"/>
      <c r="F647" s="6"/>
      <c r="G647" s="6"/>
      <c r="H647" s="6"/>
      <c r="I647" s="6"/>
    </row>
    <row r="648" spans="3:9" x14ac:dyDescent="0.15">
      <c r="C648" s="6"/>
      <c r="D648" s="6"/>
      <c r="E648" s="6"/>
      <c r="F648" s="6"/>
      <c r="G648" s="6"/>
      <c r="H648" s="6"/>
      <c r="I648" s="6"/>
    </row>
    <row r="649" spans="3:9" x14ac:dyDescent="0.15">
      <c r="C649" s="6"/>
      <c r="D649" s="6"/>
      <c r="E649" s="6"/>
      <c r="F649" s="6"/>
      <c r="G649" s="6"/>
      <c r="H649" s="6"/>
      <c r="I649" s="6"/>
    </row>
    <row r="650" spans="3:9" x14ac:dyDescent="0.15">
      <c r="C650" s="6"/>
      <c r="D650" s="6"/>
      <c r="E650" s="6"/>
      <c r="F650" s="6"/>
      <c r="G650" s="6"/>
      <c r="H650" s="6"/>
      <c r="I650" s="6"/>
    </row>
    <row r="651" spans="3:9" x14ac:dyDescent="0.15">
      <c r="C651" s="6"/>
      <c r="D651" s="6"/>
      <c r="E651" s="6"/>
      <c r="F651" s="6"/>
      <c r="G651" s="6"/>
      <c r="H651" s="6"/>
      <c r="I651" s="6"/>
    </row>
    <row r="652" spans="3:9" x14ac:dyDescent="0.15">
      <c r="C652" s="6"/>
      <c r="D652" s="6"/>
      <c r="E652" s="6"/>
      <c r="F652" s="6"/>
      <c r="G652" s="6"/>
      <c r="H652" s="6"/>
      <c r="I652" s="6"/>
    </row>
    <row r="653" spans="3:9" x14ac:dyDescent="0.15">
      <c r="C653" s="6"/>
      <c r="D653" s="6"/>
      <c r="E653" s="6"/>
      <c r="F653" s="6"/>
      <c r="G653" s="6"/>
      <c r="H653" s="6"/>
      <c r="I653" s="6"/>
    </row>
    <row r="654" spans="3:9" x14ac:dyDescent="0.15">
      <c r="C654" s="6"/>
      <c r="D654" s="6"/>
      <c r="E654" s="6"/>
      <c r="F654" s="6"/>
      <c r="G654" s="6"/>
      <c r="H654" s="6"/>
      <c r="I654" s="6"/>
    </row>
    <row r="655" spans="3:9" x14ac:dyDescent="0.15">
      <c r="C655" s="6"/>
      <c r="D655" s="6"/>
      <c r="E655" s="6"/>
      <c r="F655" s="6"/>
      <c r="G655" s="6"/>
      <c r="H655" s="6"/>
      <c r="I655" s="6"/>
    </row>
    <row r="656" spans="3:9" x14ac:dyDescent="0.15">
      <c r="C656" s="6"/>
      <c r="D656" s="6"/>
      <c r="E656" s="6"/>
      <c r="F656" s="6"/>
      <c r="G656" s="6"/>
      <c r="H656" s="6"/>
      <c r="I656" s="6"/>
    </row>
    <row r="657" spans="3:9" x14ac:dyDescent="0.15">
      <c r="C657" s="6"/>
      <c r="D657" s="6"/>
      <c r="E657" s="6"/>
      <c r="F657" s="6"/>
      <c r="G657" s="6"/>
      <c r="H657" s="6"/>
      <c r="I657" s="6"/>
    </row>
    <row r="658" spans="3:9" x14ac:dyDescent="0.15">
      <c r="C658" s="6"/>
      <c r="D658" s="6"/>
      <c r="E658" s="6"/>
      <c r="F658" s="6"/>
      <c r="G658" s="6"/>
      <c r="H658" s="6"/>
      <c r="I658" s="6"/>
    </row>
    <row r="659" spans="3:9" x14ac:dyDescent="0.15">
      <c r="C659" s="6"/>
      <c r="D659" s="6"/>
      <c r="E659" s="6"/>
      <c r="F659" s="6"/>
      <c r="G659" s="6"/>
      <c r="H659" s="6"/>
      <c r="I659" s="6"/>
    </row>
    <row r="660" spans="3:9" x14ac:dyDescent="0.15">
      <c r="C660" s="6"/>
      <c r="D660" s="6"/>
      <c r="E660" s="6"/>
      <c r="F660" s="6"/>
      <c r="G660" s="6"/>
      <c r="H660" s="6"/>
      <c r="I660" s="6"/>
    </row>
    <row r="661" spans="3:9" x14ac:dyDescent="0.15">
      <c r="C661" s="6"/>
      <c r="D661" s="6"/>
      <c r="E661" s="6"/>
      <c r="F661" s="6"/>
      <c r="G661" s="6"/>
      <c r="H661" s="6"/>
      <c r="I661" s="6"/>
    </row>
    <row r="662" spans="3:9" x14ac:dyDescent="0.15">
      <c r="C662" s="6"/>
      <c r="D662" s="6"/>
      <c r="E662" s="6"/>
      <c r="F662" s="6"/>
      <c r="G662" s="6"/>
      <c r="H662" s="6"/>
      <c r="I662" s="6"/>
    </row>
    <row r="663" spans="3:9" x14ac:dyDescent="0.15">
      <c r="C663" s="6"/>
      <c r="D663" s="6"/>
      <c r="E663" s="6"/>
      <c r="F663" s="6"/>
      <c r="G663" s="6"/>
      <c r="H663" s="6"/>
      <c r="I663" s="6"/>
    </row>
    <row r="664" spans="3:9" x14ac:dyDescent="0.15">
      <c r="C664" s="6"/>
      <c r="D664" s="6"/>
      <c r="E664" s="6"/>
      <c r="F664" s="6"/>
      <c r="G664" s="6"/>
      <c r="H664" s="6"/>
      <c r="I664" s="6"/>
    </row>
    <row r="665" spans="3:9" x14ac:dyDescent="0.15">
      <c r="C665" s="6"/>
      <c r="D665" s="6"/>
      <c r="E665" s="6"/>
      <c r="F665" s="6"/>
      <c r="G665" s="6"/>
      <c r="H665" s="6"/>
      <c r="I665" s="6"/>
    </row>
    <row r="666" spans="3:9" x14ac:dyDescent="0.15">
      <c r="C666" s="6"/>
      <c r="D666" s="6"/>
      <c r="E666" s="6"/>
      <c r="F666" s="6"/>
      <c r="G666" s="6"/>
      <c r="H666" s="6"/>
      <c r="I666" s="6"/>
    </row>
    <row r="667" spans="3:9" x14ac:dyDescent="0.15">
      <c r="C667" s="6"/>
      <c r="D667" s="6"/>
      <c r="E667" s="6"/>
      <c r="F667" s="6"/>
      <c r="G667" s="6"/>
      <c r="H667" s="6"/>
      <c r="I667" s="6"/>
    </row>
    <row r="668" spans="3:9" x14ac:dyDescent="0.15">
      <c r="C668" s="6"/>
      <c r="D668" s="6"/>
      <c r="E668" s="6"/>
      <c r="F668" s="6"/>
      <c r="G668" s="6"/>
      <c r="H668" s="6"/>
      <c r="I668" s="6"/>
    </row>
    <row r="669" spans="3:9" x14ac:dyDescent="0.15">
      <c r="C669" s="6"/>
      <c r="D669" s="6"/>
      <c r="E669" s="6"/>
      <c r="F669" s="6"/>
      <c r="G669" s="6"/>
      <c r="H669" s="6"/>
      <c r="I669" s="6"/>
    </row>
    <row r="670" spans="3:9" x14ac:dyDescent="0.15">
      <c r="C670" s="6"/>
      <c r="D670" s="6"/>
      <c r="E670" s="6"/>
      <c r="F670" s="6"/>
      <c r="G670" s="6"/>
      <c r="H670" s="6"/>
      <c r="I670" s="6"/>
    </row>
    <row r="671" spans="3:9" x14ac:dyDescent="0.15">
      <c r="C671" s="6"/>
      <c r="D671" s="6"/>
      <c r="E671" s="6"/>
      <c r="F671" s="6"/>
      <c r="G671" s="6"/>
      <c r="H671" s="6"/>
      <c r="I671" s="6"/>
    </row>
    <row r="672" spans="3:9" x14ac:dyDescent="0.15">
      <c r="C672" s="6"/>
      <c r="D672" s="6"/>
      <c r="E672" s="6"/>
      <c r="F672" s="6"/>
      <c r="G672" s="6"/>
      <c r="H672" s="6"/>
      <c r="I672" s="6"/>
    </row>
    <row r="673" spans="3:9" x14ac:dyDescent="0.15">
      <c r="C673" s="6"/>
      <c r="D673" s="6"/>
      <c r="E673" s="6"/>
      <c r="F673" s="6"/>
      <c r="G673" s="6"/>
      <c r="H673" s="6"/>
      <c r="I673" s="6"/>
    </row>
    <row r="674" spans="3:9" x14ac:dyDescent="0.15">
      <c r="C674" s="6"/>
      <c r="D674" s="6"/>
      <c r="E674" s="6"/>
      <c r="F674" s="6"/>
      <c r="G674" s="6"/>
      <c r="H674" s="6"/>
      <c r="I674" s="6"/>
    </row>
    <row r="675" spans="3:9" x14ac:dyDescent="0.15">
      <c r="C675" s="6"/>
      <c r="D675" s="6"/>
      <c r="E675" s="6"/>
      <c r="F675" s="6"/>
      <c r="G675" s="6"/>
      <c r="H675" s="6"/>
      <c r="I675" s="6"/>
    </row>
    <row r="676" spans="3:9" x14ac:dyDescent="0.15">
      <c r="C676" s="6"/>
      <c r="D676" s="6"/>
      <c r="E676" s="6"/>
      <c r="F676" s="6"/>
      <c r="G676" s="6"/>
      <c r="H676" s="6"/>
      <c r="I676" s="6"/>
    </row>
    <row r="677" spans="3:9" x14ac:dyDescent="0.15">
      <c r="C677" s="6"/>
      <c r="D677" s="6"/>
      <c r="E677" s="6"/>
      <c r="F677" s="6"/>
      <c r="G677" s="6"/>
      <c r="H677" s="6"/>
      <c r="I677" s="6"/>
    </row>
    <row r="678" spans="3:9" x14ac:dyDescent="0.15">
      <c r="C678" s="6"/>
      <c r="D678" s="6"/>
      <c r="E678" s="6"/>
      <c r="F678" s="6"/>
      <c r="G678" s="6"/>
      <c r="H678" s="6"/>
      <c r="I678" s="6"/>
    </row>
    <row r="679" spans="3:9" x14ac:dyDescent="0.15">
      <c r="C679" s="6"/>
      <c r="D679" s="6"/>
      <c r="E679" s="6"/>
      <c r="F679" s="6"/>
      <c r="G679" s="6"/>
      <c r="H679" s="6"/>
      <c r="I679" s="6"/>
    </row>
    <row r="680" spans="3:9" x14ac:dyDescent="0.15">
      <c r="C680" s="6"/>
      <c r="D680" s="6"/>
      <c r="E680" s="6"/>
      <c r="F680" s="6"/>
      <c r="G680" s="6"/>
      <c r="H680" s="6"/>
      <c r="I680" s="6"/>
    </row>
    <row r="681" spans="3:9" x14ac:dyDescent="0.15">
      <c r="C681" s="6"/>
      <c r="D681" s="6"/>
      <c r="E681" s="6"/>
      <c r="F681" s="6"/>
      <c r="G681" s="6"/>
      <c r="H681" s="6"/>
      <c r="I681" s="6"/>
    </row>
    <row r="682" spans="3:9" x14ac:dyDescent="0.15">
      <c r="C682" s="6"/>
      <c r="D682" s="6"/>
      <c r="E682" s="6"/>
      <c r="F682" s="6"/>
      <c r="G682" s="6"/>
      <c r="H682" s="6"/>
      <c r="I682" s="6"/>
    </row>
    <row r="683" spans="3:9" x14ac:dyDescent="0.15">
      <c r="C683" s="6"/>
      <c r="D683" s="6"/>
      <c r="E683" s="6"/>
      <c r="F683" s="6"/>
      <c r="G683" s="6"/>
      <c r="H683" s="6"/>
      <c r="I683" s="6"/>
    </row>
    <row r="684" spans="3:9" x14ac:dyDescent="0.15">
      <c r="C684" s="6"/>
      <c r="D684" s="6"/>
      <c r="E684" s="6"/>
      <c r="F684" s="6"/>
      <c r="G684" s="6"/>
      <c r="H684" s="6"/>
      <c r="I684" s="6"/>
    </row>
    <row r="685" spans="3:9" x14ac:dyDescent="0.15">
      <c r="C685" s="6"/>
      <c r="D685" s="6"/>
      <c r="E685" s="6"/>
      <c r="F685" s="6"/>
      <c r="G685" s="6"/>
      <c r="H685" s="6"/>
      <c r="I685" s="6"/>
    </row>
    <row r="686" spans="3:9" x14ac:dyDescent="0.15">
      <c r="C686" s="6"/>
      <c r="D686" s="6"/>
      <c r="E686" s="6"/>
      <c r="F686" s="6"/>
      <c r="G686" s="6"/>
      <c r="H686" s="6"/>
      <c r="I686" s="6"/>
    </row>
    <row r="687" spans="3:9" x14ac:dyDescent="0.15">
      <c r="C687" s="6"/>
      <c r="D687" s="6"/>
      <c r="E687" s="6"/>
      <c r="F687" s="6"/>
      <c r="G687" s="6"/>
      <c r="H687" s="6"/>
      <c r="I687" s="6"/>
    </row>
    <row r="688" spans="3:9" x14ac:dyDescent="0.15">
      <c r="C688" s="6"/>
      <c r="D688" s="6"/>
      <c r="E688" s="6"/>
      <c r="F688" s="6"/>
      <c r="G688" s="6"/>
      <c r="H688" s="6"/>
      <c r="I688" s="6"/>
    </row>
    <row r="689" spans="3:9" x14ac:dyDescent="0.15">
      <c r="C689" s="6"/>
      <c r="D689" s="6"/>
      <c r="E689" s="6"/>
      <c r="F689" s="6"/>
      <c r="G689" s="6"/>
      <c r="H689" s="6"/>
      <c r="I689" s="6"/>
    </row>
    <row r="690" spans="3:9" x14ac:dyDescent="0.15">
      <c r="C690" s="6"/>
      <c r="D690" s="6"/>
      <c r="E690" s="6"/>
      <c r="F690" s="6"/>
      <c r="G690" s="6"/>
      <c r="H690" s="6"/>
      <c r="I690" s="6"/>
    </row>
    <row r="691" spans="3:9" x14ac:dyDescent="0.15">
      <c r="C691" s="6"/>
      <c r="D691" s="6"/>
      <c r="E691" s="6"/>
      <c r="F691" s="6"/>
      <c r="G691" s="6"/>
      <c r="H691" s="6"/>
      <c r="I691" s="6"/>
    </row>
    <row r="692" spans="3:9" x14ac:dyDescent="0.15">
      <c r="C692" s="6"/>
      <c r="D692" s="6"/>
      <c r="E692" s="6"/>
      <c r="F692" s="6"/>
      <c r="G692" s="6"/>
      <c r="H692" s="6"/>
      <c r="I692" s="6"/>
    </row>
    <row r="693" spans="3:9" x14ac:dyDescent="0.15">
      <c r="C693" s="6"/>
      <c r="D693" s="6"/>
      <c r="E693" s="6"/>
      <c r="F693" s="6"/>
      <c r="G693" s="6"/>
      <c r="H693" s="6"/>
      <c r="I693" s="6"/>
    </row>
    <row r="694" spans="3:9" x14ac:dyDescent="0.15">
      <c r="C694" s="6"/>
      <c r="D694" s="6"/>
      <c r="E694" s="6"/>
      <c r="F694" s="6"/>
      <c r="G694" s="6"/>
      <c r="H694" s="6"/>
      <c r="I694" s="6"/>
    </row>
    <row r="695" spans="3:9" x14ac:dyDescent="0.15">
      <c r="C695" s="6"/>
      <c r="D695" s="6"/>
      <c r="E695" s="6"/>
      <c r="F695" s="6"/>
      <c r="G695" s="6"/>
      <c r="H695" s="6"/>
      <c r="I695" s="6"/>
    </row>
    <row r="696" spans="3:9" x14ac:dyDescent="0.15">
      <c r="C696" s="6"/>
      <c r="D696" s="6"/>
      <c r="E696" s="6"/>
      <c r="F696" s="6"/>
      <c r="G696" s="6"/>
      <c r="H696" s="6"/>
      <c r="I696" s="6"/>
    </row>
    <row r="697" spans="3:9" x14ac:dyDescent="0.15">
      <c r="C697" s="6"/>
      <c r="D697" s="6"/>
      <c r="E697" s="6"/>
      <c r="F697" s="6"/>
      <c r="G697" s="6"/>
      <c r="H697" s="6"/>
      <c r="I697" s="6"/>
    </row>
    <row r="698" spans="3:9" x14ac:dyDescent="0.15">
      <c r="C698" s="6"/>
      <c r="D698" s="6"/>
      <c r="E698" s="6"/>
      <c r="F698" s="6"/>
      <c r="G698" s="6"/>
      <c r="H698" s="6"/>
      <c r="I698" s="6"/>
    </row>
    <row r="699" spans="3:9" x14ac:dyDescent="0.15">
      <c r="C699" s="6"/>
      <c r="D699" s="6"/>
      <c r="E699" s="6"/>
      <c r="F699" s="6"/>
      <c r="G699" s="6"/>
      <c r="H699" s="6"/>
      <c r="I699" s="6"/>
    </row>
    <row r="700" spans="3:9" x14ac:dyDescent="0.15">
      <c r="C700" s="6"/>
      <c r="D700" s="6"/>
      <c r="E700" s="6"/>
      <c r="F700" s="6"/>
      <c r="G700" s="6"/>
      <c r="H700" s="6"/>
      <c r="I700" s="6"/>
    </row>
    <row r="701" spans="3:9" x14ac:dyDescent="0.15">
      <c r="C701" s="6"/>
      <c r="D701" s="6"/>
      <c r="E701" s="6"/>
      <c r="F701" s="6"/>
      <c r="G701" s="6"/>
      <c r="H701" s="6"/>
      <c r="I701" s="6"/>
    </row>
    <row r="702" spans="3:9" x14ac:dyDescent="0.15">
      <c r="C702" s="6"/>
      <c r="D702" s="6"/>
      <c r="E702" s="6"/>
      <c r="F702" s="6"/>
      <c r="G702" s="6"/>
      <c r="H702" s="6"/>
      <c r="I702" s="6"/>
    </row>
    <row r="703" spans="3:9" x14ac:dyDescent="0.15">
      <c r="C703" s="6"/>
      <c r="D703" s="6"/>
      <c r="E703" s="6"/>
      <c r="F703" s="6"/>
      <c r="G703" s="6"/>
      <c r="H703" s="6"/>
      <c r="I703" s="6"/>
    </row>
    <row r="704" spans="3:9" x14ac:dyDescent="0.15">
      <c r="C704" s="6"/>
      <c r="D704" s="6"/>
      <c r="E704" s="6"/>
      <c r="F704" s="6"/>
      <c r="G704" s="6"/>
      <c r="H704" s="6"/>
      <c r="I704" s="6"/>
    </row>
    <row r="705" spans="3:9" x14ac:dyDescent="0.15">
      <c r="C705" s="6"/>
      <c r="D705" s="6"/>
      <c r="E705" s="6"/>
      <c r="F705" s="6"/>
      <c r="G705" s="6"/>
      <c r="H705" s="6"/>
      <c r="I705" s="6"/>
    </row>
    <row r="706" spans="3:9" x14ac:dyDescent="0.15">
      <c r="C706" s="6"/>
      <c r="D706" s="6"/>
      <c r="E706" s="6"/>
      <c r="F706" s="6"/>
      <c r="G706" s="6"/>
      <c r="H706" s="6"/>
      <c r="I706" s="6"/>
    </row>
    <row r="707" spans="3:9" x14ac:dyDescent="0.15">
      <c r="C707" s="6"/>
      <c r="D707" s="6"/>
      <c r="E707" s="6"/>
      <c r="F707" s="6"/>
      <c r="G707" s="6"/>
      <c r="H707" s="6"/>
      <c r="I707" s="6"/>
    </row>
    <row r="708" spans="3:9" x14ac:dyDescent="0.15">
      <c r="C708" s="6"/>
      <c r="D708" s="6"/>
      <c r="E708" s="6"/>
      <c r="F708" s="6"/>
      <c r="G708" s="6"/>
      <c r="H708" s="6"/>
      <c r="I708" s="6"/>
    </row>
    <row r="709" spans="3:9" x14ac:dyDescent="0.15">
      <c r="C709" s="6"/>
      <c r="D709" s="6"/>
      <c r="E709" s="6"/>
      <c r="F709" s="6"/>
      <c r="G709" s="6"/>
      <c r="H709" s="6"/>
      <c r="I709" s="6"/>
    </row>
    <row r="710" spans="3:9" x14ac:dyDescent="0.15">
      <c r="C710" s="6"/>
      <c r="D710" s="6"/>
      <c r="E710" s="6"/>
      <c r="F710" s="6"/>
      <c r="G710" s="6"/>
      <c r="H710" s="6"/>
      <c r="I710" s="6"/>
    </row>
    <row r="711" spans="3:9" x14ac:dyDescent="0.15">
      <c r="C711" s="6"/>
      <c r="D711" s="6"/>
      <c r="E711" s="6"/>
      <c r="F711" s="6"/>
      <c r="G711" s="6"/>
      <c r="H711" s="6"/>
      <c r="I711" s="6"/>
    </row>
    <row r="712" spans="3:9" x14ac:dyDescent="0.15">
      <c r="C712" s="6"/>
      <c r="D712" s="6"/>
      <c r="E712" s="6"/>
      <c r="F712" s="6"/>
      <c r="G712" s="6"/>
      <c r="H712" s="6"/>
      <c r="I712" s="6"/>
    </row>
    <row r="713" spans="3:9" x14ac:dyDescent="0.15">
      <c r="C713" s="6"/>
      <c r="D713" s="6"/>
      <c r="E713" s="6"/>
      <c r="F713" s="6"/>
      <c r="G713" s="6"/>
      <c r="H713" s="6"/>
      <c r="I713" s="6"/>
    </row>
    <row r="714" spans="3:9" x14ac:dyDescent="0.15">
      <c r="C714" s="6"/>
      <c r="D714" s="6"/>
      <c r="E714" s="6"/>
      <c r="F714" s="6"/>
      <c r="G714" s="6"/>
      <c r="H714" s="6"/>
      <c r="I714" s="6"/>
    </row>
    <row r="715" spans="3:9" x14ac:dyDescent="0.15">
      <c r="C715" s="6"/>
      <c r="D715" s="6"/>
      <c r="E715" s="6"/>
      <c r="F715" s="6"/>
      <c r="G715" s="6"/>
      <c r="H715" s="6"/>
      <c r="I715" s="6"/>
    </row>
    <row r="716" spans="3:9" x14ac:dyDescent="0.15">
      <c r="C716" s="6"/>
      <c r="D716" s="6"/>
      <c r="E716" s="6"/>
      <c r="F716" s="6"/>
      <c r="G716" s="6"/>
      <c r="H716" s="6"/>
      <c r="I716" s="6"/>
    </row>
    <row r="717" spans="3:9" x14ac:dyDescent="0.15">
      <c r="C717" s="6"/>
      <c r="D717" s="6"/>
      <c r="E717" s="6"/>
      <c r="F717" s="6"/>
      <c r="G717" s="6"/>
      <c r="H717" s="6"/>
      <c r="I717" s="6"/>
    </row>
    <row r="718" spans="3:9" x14ac:dyDescent="0.15">
      <c r="C718" s="6"/>
      <c r="D718" s="6"/>
      <c r="E718" s="6"/>
      <c r="F718" s="6"/>
      <c r="G718" s="6"/>
      <c r="H718" s="6"/>
      <c r="I718" s="6"/>
    </row>
    <row r="719" spans="3:9" x14ac:dyDescent="0.15">
      <c r="C719" s="6"/>
      <c r="D719" s="6"/>
      <c r="E719" s="6"/>
      <c r="F719" s="6"/>
      <c r="G719" s="6"/>
      <c r="H719" s="6"/>
      <c r="I719" s="6"/>
    </row>
    <row r="720" spans="3:9" x14ac:dyDescent="0.15">
      <c r="C720" s="6"/>
      <c r="D720" s="6"/>
      <c r="E720" s="6"/>
      <c r="F720" s="6"/>
      <c r="G720" s="6"/>
      <c r="H720" s="6"/>
      <c r="I720" s="6"/>
    </row>
    <row r="721" spans="3:9" x14ac:dyDescent="0.15">
      <c r="C721" s="6"/>
      <c r="D721" s="6"/>
      <c r="E721" s="6"/>
      <c r="F721" s="6"/>
      <c r="G721" s="6"/>
      <c r="H721" s="6"/>
      <c r="I721" s="6"/>
    </row>
    <row r="722" spans="3:9" x14ac:dyDescent="0.15">
      <c r="C722" s="6"/>
      <c r="D722" s="6"/>
      <c r="E722" s="6"/>
      <c r="F722" s="6"/>
      <c r="G722" s="6"/>
      <c r="H722" s="6"/>
      <c r="I722" s="6"/>
    </row>
    <row r="723" spans="3:9" x14ac:dyDescent="0.15">
      <c r="C723" s="6"/>
      <c r="D723" s="6"/>
      <c r="E723" s="6"/>
      <c r="F723" s="6"/>
      <c r="G723" s="6"/>
      <c r="H723" s="6"/>
      <c r="I723" s="6"/>
    </row>
    <row r="724" spans="3:9" x14ac:dyDescent="0.15">
      <c r="C724" s="6"/>
      <c r="D724" s="6"/>
      <c r="E724" s="6"/>
      <c r="F724" s="6"/>
      <c r="G724" s="6"/>
      <c r="H724" s="6"/>
      <c r="I724" s="6"/>
    </row>
    <row r="725" spans="3:9" x14ac:dyDescent="0.15">
      <c r="C725" s="6"/>
      <c r="D725" s="6"/>
      <c r="E725" s="6"/>
      <c r="F725" s="6"/>
      <c r="G725" s="6"/>
      <c r="H725" s="6"/>
      <c r="I725" s="6"/>
    </row>
    <row r="726" spans="3:9" x14ac:dyDescent="0.15">
      <c r="C726" s="6"/>
      <c r="D726" s="6"/>
      <c r="E726" s="6"/>
      <c r="F726" s="6"/>
      <c r="G726" s="6"/>
      <c r="H726" s="6"/>
      <c r="I726" s="6"/>
    </row>
    <row r="727" spans="3:9" x14ac:dyDescent="0.15">
      <c r="C727" s="6"/>
      <c r="D727" s="6"/>
      <c r="E727" s="6"/>
      <c r="F727" s="6"/>
      <c r="G727" s="6"/>
      <c r="H727" s="6"/>
      <c r="I727" s="6"/>
    </row>
    <row r="728" spans="3:9" x14ac:dyDescent="0.15">
      <c r="C728" s="6"/>
      <c r="D728" s="6"/>
      <c r="E728" s="6"/>
      <c r="F728" s="6"/>
      <c r="G728" s="6"/>
      <c r="H728" s="6"/>
      <c r="I728" s="6"/>
    </row>
    <row r="729" spans="3:9" x14ac:dyDescent="0.15">
      <c r="C729" s="6"/>
      <c r="D729" s="6"/>
      <c r="E729" s="6"/>
      <c r="F729" s="6"/>
      <c r="G729" s="6"/>
      <c r="H729" s="6"/>
      <c r="I729" s="6"/>
    </row>
    <row r="730" spans="3:9" x14ac:dyDescent="0.15">
      <c r="C730" s="6"/>
      <c r="D730" s="6"/>
      <c r="E730" s="6"/>
      <c r="F730" s="6"/>
      <c r="G730" s="6"/>
      <c r="H730" s="6"/>
      <c r="I730" s="6"/>
    </row>
    <row r="731" spans="3:9" x14ac:dyDescent="0.15">
      <c r="C731" s="6"/>
      <c r="D731" s="6"/>
      <c r="E731" s="6"/>
      <c r="F731" s="6"/>
      <c r="G731" s="6"/>
      <c r="H731" s="6"/>
      <c r="I731" s="6"/>
    </row>
    <row r="732" spans="3:9" x14ac:dyDescent="0.15">
      <c r="C732" s="6"/>
      <c r="D732" s="6"/>
      <c r="E732" s="6"/>
      <c r="F732" s="6"/>
      <c r="G732" s="6"/>
      <c r="H732" s="6"/>
      <c r="I732" s="6"/>
    </row>
    <row r="733" spans="3:9" x14ac:dyDescent="0.15">
      <c r="C733" s="6"/>
      <c r="D733" s="6"/>
      <c r="E733" s="6"/>
      <c r="F733" s="6"/>
      <c r="G733" s="6"/>
      <c r="H733" s="6"/>
      <c r="I733" s="6"/>
    </row>
    <row r="734" spans="3:9" x14ac:dyDescent="0.15">
      <c r="C734" s="6"/>
      <c r="D734" s="6"/>
      <c r="E734" s="6"/>
      <c r="F734" s="6"/>
      <c r="G734" s="6"/>
      <c r="H734" s="6"/>
      <c r="I734" s="6"/>
    </row>
    <row r="735" spans="3:9" x14ac:dyDescent="0.15">
      <c r="C735" s="6"/>
      <c r="D735" s="6"/>
      <c r="E735" s="6"/>
      <c r="F735" s="6"/>
      <c r="G735" s="6"/>
      <c r="H735" s="6"/>
      <c r="I735" s="6"/>
    </row>
    <row r="736" spans="3:9" x14ac:dyDescent="0.15">
      <c r="C736" s="6"/>
      <c r="D736" s="6"/>
      <c r="E736" s="6"/>
      <c r="F736" s="6"/>
      <c r="G736" s="6"/>
      <c r="H736" s="6"/>
      <c r="I736" s="6"/>
    </row>
    <row r="737" spans="3:9" x14ac:dyDescent="0.15">
      <c r="C737" s="6"/>
      <c r="D737" s="6"/>
      <c r="E737" s="6"/>
      <c r="F737" s="6"/>
      <c r="G737" s="6"/>
      <c r="H737" s="6"/>
      <c r="I737" s="6"/>
    </row>
    <row r="738" spans="3:9" x14ac:dyDescent="0.15">
      <c r="C738" s="6"/>
      <c r="D738" s="6"/>
      <c r="E738" s="6"/>
      <c r="F738" s="6"/>
      <c r="G738" s="6"/>
      <c r="H738" s="6"/>
      <c r="I738" s="6"/>
    </row>
    <row r="739" spans="3:9" x14ac:dyDescent="0.15">
      <c r="C739" s="6"/>
      <c r="D739" s="6"/>
      <c r="E739" s="6"/>
      <c r="F739" s="6"/>
      <c r="G739" s="6"/>
      <c r="H739" s="6"/>
      <c r="I739" s="6"/>
    </row>
    <row r="740" spans="3:9" x14ac:dyDescent="0.15">
      <c r="C740" s="6"/>
      <c r="D740" s="6"/>
      <c r="E740" s="6"/>
      <c r="F740" s="6"/>
      <c r="G740" s="6"/>
      <c r="H740" s="6"/>
      <c r="I740" s="6"/>
    </row>
    <row r="741" spans="3:9" x14ac:dyDescent="0.15">
      <c r="C741" s="6"/>
      <c r="D741" s="6"/>
      <c r="E741" s="6"/>
      <c r="F741" s="6"/>
      <c r="G741" s="6"/>
      <c r="H741" s="6"/>
      <c r="I741" s="6"/>
    </row>
    <row r="742" spans="3:9" x14ac:dyDescent="0.15">
      <c r="C742" s="6"/>
      <c r="D742" s="6"/>
      <c r="E742" s="6"/>
      <c r="F742" s="6"/>
      <c r="G742" s="6"/>
      <c r="H742" s="6"/>
      <c r="I742" s="6"/>
    </row>
    <row r="743" spans="3:9" x14ac:dyDescent="0.15">
      <c r="C743" s="6"/>
      <c r="D743" s="6"/>
      <c r="E743" s="6"/>
      <c r="F743" s="6"/>
      <c r="G743" s="6"/>
      <c r="H743" s="6"/>
      <c r="I743" s="6"/>
    </row>
    <row r="744" spans="3:9" x14ac:dyDescent="0.15">
      <c r="C744" s="6"/>
      <c r="D744" s="6"/>
      <c r="E744" s="6"/>
      <c r="F744" s="6"/>
      <c r="G744" s="6"/>
      <c r="H744" s="6"/>
      <c r="I744" s="6"/>
    </row>
    <row r="745" spans="3:9" x14ac:dyDescent="0.15">
      <c r="C745" s="6"/>
      <c r="D745" s="6"/>
      <c r="E745" s="6"/>
      <c r="F745" s="6"/>
      <c r="G745" s="6"/>
      <c r="H745" s="6"/>
      <c r="I745" s="6"/>
    </row>
    <row r="746" spans="3:9" x14ac:dyDescent="0.15">
      <c r="C746" s="6"/>
      <c r="D746" s="6"/>
      <c r="E746" s="6"/>
      <c r="F746" s="6"/>
      <c r="G746" s="6"/>
      <c r="H746" s="6"/>
      <c r="I746" s="6"/>
    </row>
    <row r="747" spans="3:9" x14ac:dyDescent="0.15">
      <c r="C747" s="6"/>
      <c r="D747" s="6"/>
      <c r="E747" s="6"/>
      <c r="F747" s="6"/>
      <c r="G747" s="6"/>
      <c r="H747" s="6"/>
      <c r="I747" s="6"/>
    </row>
    <row r="748" spans="3:9" x14ac:dyDescent="0.15">
      <c r="C748" s="6"/>
      <c r="D748" s="6"/>
      <c r="E748" s="6"/>
      <c r="F748" s="6"/>
      <c r="G748" s="6"/>
      <c r="H748" s="6"/>
      <c r="I748" s="6"/>
    </row>
    <row r="749" spans="3:9" x14ac:dyDescent="0.15">
      <c r="C749" s="6"/>
      <c r="D749" s="6"/>
      <c r="E749" s="6"/>
      <c r="F749" s="6"/>
      <c r="G749" s="6"/>
      <c r="H749" s="6"/>
      <c r="I749" s="6"/>
    </row>
    <row r="750" spans="3:9" x14ac:dyDescent="0.15">
      <c r="C750" s="6"/>
      <c r="D750" s="6"/>
      <c r="E750" s="6"/>
      <c r="F750" s="6"/>
      <c r="G750" s="6"/>
      <c r="H750" s="6"/>
      <c r="I750" s="6"/>
    </row>
    <row r="751" spans="3:9" x14ac:dyDescent="0.15">
      <c r="C751" s="6"/>
      <c r="D751" s="6"/>
      <c r="E751" s="6"/>
      <c r="F751" s="6"/>
      <c r="G751" s="6"/>
      <c r="H751" s="6"/>
      <c r="I751" s="6"/>
    </row>
    <row r="752" spans="3:9" x14ac:dyDescent="0.15">
      <c r="C752" s="6"/>
      <c r="D752" s="6"/>
      <c r="E752" s="6"/>
      <c r="F752" s="6"/>
      <c r="G752" s="6"/>
      <c r="H752" s="6"/>
      <c r="I752" s="6"/>
    </row>
    <row r="753" spans="3:9" x14ac:dyDescent="0.15">
      <c r="C753" s="6"/>
      <c r="D753" s="6"/>
      <c r="E753" s="6"/>
      <c r="F753" s="6"/>
      <c r="G753" s="6"/>
      <c r="H753" s="6"/>
      <c r="I753" s="6"/>
    </row>
    <row r="754" spans="3:9" x14ac:dyDescent="0.15">
      <c r="C754" s="6"/>
      <c r="D754" s="6"/>
      <c r="E754" s="6"/>
      <c r="F754" s="6"/>
      <c r="G754" s="6"/>
      <c r="H754" s="6"/>
      <c r="I754" s="6"/>
    </row>
    <row r="755" spans="3:9" x14ac:dyDescent="0.15">
      <c r="C755" s="6"/>
      <c r="D755" s="6"/>
      <c r="E755" s="6"/>
      <c r="F755" s="6"/>
      <c r="G755" s="6"/>
      <c r="H755" s="6"/>
      <c r="I755" s="6"/>
    </row>
    <row r="756" spans="3:9" x14ac:dyDescent="0.15">
      <c r="C756" s="6"/>
      <c r="D756" s="6"/>
      <c r="E756" s="6"/>
      <c r="F756" s="6"/>
      <c r="G756" s="6"/>
      <c r="H756" s="6"/>
      <c r="I756" s="6"/>
    </row>
    <row r="757" spans="3:9" x14ac:dyDescent="0.15">
      <c r="C757" s="6"/>
      <c r="D757" s="6"/>
      <c r="E757" s="6"/>
      <c r="F757" s="6"/>
      <c r="G757" s="6"/>
      <c r="H757" s="6"/>
      <c r="I757" s="6"/>
    </row>
    <row r="758" spans="3:9" x14ac:dyDescent="0.15">
      <c r="C758" s="6"/>
      <c r="D758" s="6"/>
      <c r="E758" s="6"/>
      <c r="F758" s="6"/>
      <c r="G758" s="6"/>
      <c r="H758" s="6"/>
      <c r="I758" s="6"/>
    </row>
    <row r="759" spans="3:9" x14ac:dyDescent="0.15">
      <c r="C759" s="6"/>
      <c r="D759" s="6"/>
      <c r="E759" s="6"/>
      <c r="F759" s="6"/>
      <c r="G759" s="6"/>
      <c r="H759" s="6"/>
      <c r="I759" s="6"/>
    </row>
    <row r="760" spans="3:9" x14ac:dyDescent="0.15">
      <c r="C760" s="6"/>
      <c r="D760" s="6"/>
      <c r="E760" s="6"/>
      <c r="F760" s="6"/>
      <c r="G760" s="6"/>
      <c r="H760" s="6"/>
      <c r="I760" s="6"/>
    </row>
    <row r="761" spans="3:9" x14ac:dyDescent="0.15">
      <c r="C761" s="6"/>
      <c r="D761" s="6"/>
      <c r="E761" s="6"/>
      <c r="F761" s="6"/>
      <c r="G761" s="6"/>
      <c r="H761" s="6"/>
      <c r="I761" s="6"/>
    </row>
    <row r="762" spans="3:9" x14ac:dyDescent="0.15">
      <c r="C762" s="6"/>
      <c r="D762" s="6"/>
      <c r="E762" s="6"/>
      <c r="F762" s="6"/>
      <c r="G762" s="6"/>
      <c r="H762" s="6"/>
      <c r="I762" s="6"/>
    </row>
    <row r="763" spans="3:9" x14ac:dyDescent="0.15">
      <c r="C763" s="6"/>
      <c r="D763" s="6"/>
      <c r="E763" s="6"/>
      <c r="F763" s="6"/>
      <c r="G763" s="6"/>
      <c r="H763" s="6"/>
      <c r="I763" s="6"/>
    </row>
    <row r="764" spans="3:9" x14ac:dyDescent="0.15">
      <c r="C764" s="6"/>
      <c r="D764" s="6"/>
      <c r="E764" s="6"/>
      <c r="F764" s="6"/>
      <c r="G764" s="6"/>
      <c r="H764" s="6"/>
      <c r="I764" s="6"/>
    </row>
    <row r="765" spans="3:9" x14ac:dyDescent="0.15">
      <c r="C765" s="6"/>
      <c r="D765" s="6"/>
      <c r="E765" s="6"/>
      <c r="F765" s="6"/>
      <c r="G765" s="6"/>
      <c r="H765" s="6"/>
      <c r="I765" s="6"/>
    </row>
    <row r="766" spans="3:9" x14ac:dyDescent="0.15">
      <c r="C766" s="6"/>
      <c r="D766" s="6"/>
      <c r="E766" s="6"/>
      <c r="F766" s="6"/>
      <c r="G766" s="6"/>
      <c r="H766" s="6"/>
      <c r="I766" s="6"/>
    </row>
    <row r="767" spans="3:9" x14ac:dyDescent="0.15">
      <c r="C767" s="6"/>
      <c r="D767" s="6"/>
      <c r="E767" s="6"/>
      <c r="F767" s="6"/>
      <c r="G767" s="6"/>
      <c r="H767" s="6"/>
      <c r="I767" s="6"/>
    </row>
    <row r="768" spans="3:9" x14ac:dyDescent="0.15">
      <c r="C768" s="6"/>
      <c r="D768" s="6"/>
      <c r="E768" s="6"/>
      <c r="F768" s="6"/>
      <c r="G768" s="6"/>
      <c r="H768" s="6"/>
      <c r="I768" s="6"/>
    </row>
    <row r="769" spans="3:9" x14ac:dyDescent="0.15">
      <c r="C769" s="6"/>
      <c r="D769" s="6"/>
      <c r="E769" s="6"/>
      <c r="F769" s="6"/>
      <c r="G769" s="6"/>
      <c r="H769" s="6"/>
      <c r="I769" s="6"/>
    </row>
    <row r="770" spans="3:9" x14ac:dyDescent="0.15">
      <c r="C770" s="6"/>
      <c r="D770" s="6"/>
      <c r="E770" s="6"/>
      <c r="F770" s="6"/>
      <c r="G770" s="6"/>
      <c r="H770" s="6"/>
      <c r="I770" s="6"/>
    </row>
    <row r="771" spans="3:9" x14ac:dyDescent="0.15">
      <c r="C771" s="6"/>
      <c r="D771" s="6"/>
      <c r="E771" s="6"/>
      <c r="F771" s="6"/>
      <c r="G771" s="6"/>
      <c r="H771" s="6"/>
      <c r="I771" s="6"/>
    </row>
    <row r="772" spans="3:9" x14ac:dyDescent="0.15">
      <c r="C772" s="6"/>
      <c r="D772" s="6"/>
      <c r="E772" s="6"/>
      <c r="F772" s="6"/>
      <c r="G772" s="6"/>
      <c r="H772" s="6"/>
      <c r="I772" s="6"/>
    </row>
    <row r="773" spans="3:9" x14ac:dyDescent="0.15">
      <c r="C773" s="6"/>
      <c r="D773" s="6"/>
      <c r="E773" s="6"/>
      <c r="F773" s="6"/>
      <c r="G773" s="6"/>
      <c r="H773" s="6"/>
      <c r="I773" s="6"/>
    </row>
    <row r="774" spans="3:9" x14ac:dyDescent="0.15">
      <c r="C774" s="6"/>
      <c r="D774" s="6"/>
      <c r="E774" s="6"/>
      <c r="F774" s="6"/>
      <c r="G774" s="6"/>
      <c r="H774" s="6"/>
      <c r="I774" s="6"/>
    </row>
    <row r="775" spans="3:9" x14ac:dyDescent="0.15">
      <c r="C775" s="6"/>
      <c r="D775" s="6"/>
      <c r="E775" s="6"/>
      <c r="F775" s="6"/>
      <c r="G775" s="6"/>
      <c r="H775" s="6"/>
      <c r="I775" s="6"/>
    </row>
    <row r="776" spans="3:9" x14ac:dyDescent="0.15">
      <c r="C776" s="6"/>
      <c r="D776" s="6"/>
      <c r="E776" s="6"/>
      <c r="F776" s="6"/>
      <c r="G776" s="6"/>
      <c r="H776" s="6"/>
      <c r="I776" s="6"/>
    </row>
    <row r="777" spans="3:9" x14ac:dyDescent="0.15">
      <c r="C777" s="6"/>
      <c r="D777" s="6"/>
      <c r="E777" s="6"/>
      <c r="F777" s="6"/>
      <c r="G777" s="6"/>
      <c r="H777" s="6"/>
      <c r="I777" s="6"/>
    </row>
    <row r="778" spans="3:9" x14ac:dyDescent="0.15">
      <c r="C778" s="6"/>
      <c r="D778" s="6"/>
      <c r="E778" s="6"/>
      <c r="F778" s="6"/>
      <c r="G778" s="6"/>
      <c r="H778" s="6"/>
      <c r="I778" s="6"/>
    </row>
    <row r="779" spans="3:9" x14ac:dyDescent="0.15">
      <c r="C779" s="6"/>
      <c r="D779" s="6"/>
      <c r="E779" s="6"/>
      <c r="F779" s="6"/>
      <c r="G779" s="6"/>
      <c r="H779" s="6"/>
      <c r="I779" s="6"/>
    </row>
    <row r="780" spans="3:9" x14ac:dyDescent="0.15">
      <c r="C780" s="6"/>
      <c r="D780" s="6"/>
      <c r="E780" s="6"/>
      <c r="F780" s="6"/>
      <c r="G780" s="6"/>
      <c r="H780" s="6"/>
      <c r="I780" s="6"/>
    </row>
    <row r="781" spans="3:9" x14ac:dyDescent="0.15">
      <c r="C781" s="6"/>
      <c r="D781" s="6"/>
      <c r="E781" s="6"/>
      <c r="F781" s="6"/>
      <c r="G781" s="6"/>
      <c r="H781" s="6"/>
      <c r="I781" s="6"/>
    </row>
    <row r="782" spans="3:9" x14ac:dyDescent="0.15">
      <c r="C782" s="6"/>
      <c r="D782" s="6"/>
      <c r="E782" s="6"/>
      <c r="F782" s="6"/>
      <c r="G782" s="6"/>
      <c r="H782" s="6"/>
      <c r="I782" s="6"/>
    </row>
    <row r="783" spans="3:9" x14ac:dyDescent="0.15">
      <c r="C783" s="6"/>
      <c r="D783" s="6"/>
      <c r="E783" s="6"/>
      <c r="F783" s="6"/>
      <c r="G783" s="6"/>
      <c r="H783" s="6"/>
      <c r="I783" s="6"/>
    </row>
    <row r="784" spans="3:9" x14ac:dyDescent="0.15">
      <c r="C784" s="6"/>
      <c r="D784" s="6"/>
      <c r="E784" s="6"/>
      <c r="F784" s="6"/>
      <c r="G784" s="6"/>
      <c r="H784" s="6"/>
      <c r="I784" s="6"/>
    </row>
    <row r="785" spans="3:9" x14ac:dyDescent="0.15">
      <c r="C785" s="6"/>
      <c r="D785" s="6"/>
      <c r="E785" s="6"/>
      <c r="F785" s="6"/>
      <c r="G785" s="6"/>
      <c r="H785" s="6"/>
      <c r="I785" s="6"/>
    </row>
    <row r="786" spans="3:9" x14ac:dyDescent="0.15">
      <c r="C786" s="6"/>
      <c r="D786" s="6"/>
      <c r="E786" s="6"/>
      <c r="F786" s="6"/>
      <c r="G786" s="6"/>
      <c r="H786" s="6"/>
      <c r="I786" s="6"/>
    </row>
    <row r="787" spans="3:9" x14ac:dyDescent="0.15">
      <c r="C787" s="6"/>
      <c r="D787" s="6"/>
      <c r="E787" s="6"/>
      <c r="F787" s="6"/>
      <c r="G787" s="6"/>
      <c r="H787" s="6"/>
      <c r="I787" s="6"/>
    </row>
    <row r="788" spans="3:9" x14ac:dyDescent="0.15">
      <c r="C788" s="6"/>
      <c r="D788" s="6"/>
      <c r="E788" s="6"/>
      <c r="F788" s="6"/>
      <c r="G788" s="6"/>
      <c r="H788" s="6"/>
      <c r="I788" s="6"/>
    </row>
    <row r="789" spans="3:9" x14ac:dyDescent="0.15">
      <c r="C789" s="6"/>
      <c r="D789" s="6"/>
      <c r="E789" s="6"/>
      <c r="F789" s="6"/>
      <c r="G789" s="6"/>
      <c r="H789" s="6"/>
      <c r="I789" s="6"/>
    </row>
    <row r="790" spans="3:9" x14ac:dyDescent="0.15">
      <c r="C790" s="6"/>
      <c r="D790" s="6"/>
      <c r="E790" s="6"/>
      <c r="F790" s="6"/>
      <c r="G790" s="6"/>
      <c r="H790" s="6"/>
      <c r="I790" s="6"/>
    </row>
    <row r="791" spans="3:9" x14ac:dyDescent="0.15">
      <c r="C791" s="6"/>
      <c r="D791" s="6"/>
      <c r="E791" s="6"/>
      <c r="F791" s="6"/>
      <c r="G791" s="6"/>
      <c r="H791" s="6"/>
      <c r="I791" s="6"/>
    </row>
    <row r="792" spans="3:9" x14ac:dyDescent="0.15">
      <c r="C792" s="6"/>
      <c r="D792" s="6"/>
      <c r="E792" s="6"/>
      <c r="F792" s="6"/>
      <c r="G792" s="6"/>
      <c r="H792" s="6"/>
      <c r="I792" s="6"/>
    </row>
    <row r="793" spans="3:9" x14ac:dyDescent="0.15">
      <c r="C793" s="6"/>
      <c r="D793" s="6"/>
      <c r="E793" s="6"/>
      <c r="F793" s="6"/>
      <c r="G793" s="6"/>
      <c r="H793" s="6"/>
      <c r="I793" s="6"/>
    </row>
    <row r="794" spans="3:9" x14ac:dyDescent="0.15">
      <c r="C794" s="6"/>
      <c r="D794" s="6"/>
      <c r="E794" s="6"/>
      <c r="F794" s="6"/>
      <c r="G794" s="6"/>
      <c r="H794" s="6"/>
      <c r="I794" s="6"/>
    </row>
    <row r="795" spans="3:9" x14ac:dyDescent="0.15">
      <c r="C795" s="6"/>
      <c r="D795" s="6"/>
      <c r="E795" s="6"/>
      <c r="F795" s="6"/>
      <c r="G795" s="6"/>
      <c r="H795" s="6"/>
      <c r="I795" s="6"/>
    </row>
    <row r="796" spans="3:9" x14ac:dyDescent="0.15">
      <c r="C796" s="6"/>
      <c r="D796" s="6"/>
      <c r="E796" s="6"/>
      <c r="F796" s="6"/>
      <c r="G796" s="6"/>
      <c r="H796" s="6"/>
      <c r="I796" s="6"/>
    </row>
    <row r="797" spans="3:9" x14ac:dyDescent="0.15">
      <c r="C797" s="6"/>
      <c r="D797" s="6"/>
      <c r="E797" s="6"/>
      <c r="F797" s="6"/>
      <c r="G797" s="6"/>
      <c r="H797" s="6"/>
      <c r="I797" s="6"/>
    </row>
    <row r="798" spans="3:9" x14ac:dyDescent="0.15">
      <c r="C798" s="6"/>
      <c r="D798" s="6"/>
      <c r="E798" s="6"/>
      <c r="F798" s="6"/>
      <c r="G798" s="6"/>
      <c r="H798" s="6"/>
      <c r="I798" s="6"/>
    </row>
    <row r="799" spans="3:9" x14ac:dyDescent="0.15">
      <c r="C799" s="6"/>
      <c r="D799" s="6"/>
      <c r="E799" s="6"/>
      <c r="F799" s="6"/>
      <c r="G799" s="6"/>
      <c r="H799" s="6"/>
      <c r="I799" s="6"/>
    </row>
    <row r="800" spans="3:9" x14ac:dyDescent="0.15">
      <c r="C800" s="6"/>
      <c r="D800" s="6"/>
      <c r="E800" s="6"/>
      <c r="F800" s="6"/>
      <c r="G800" s="6"/>
      <c r="H800" s="6"/>
      <c r="I800" s="6"/>
    </row>
    <row r="801" spans="3:9" x14ac:dyDescent="0.15">
      <c r="C801" s="6"/>
      <c r="D801" s="6"/>
      <c r="E801" s="6"/>
      <c r="F801" s="6"/>
      <c r="G801" s="6"/>
      <c r="H801" s="6"/>
      <c r="I801" s="6"/>
    </row>
    <row r="802" spans="3:9" x14ac:dyDescent="0.15">
      <c r="C802" s="6"/>
      <c r="D802" s="6"/>
      <c r="E802" s="6"/>
      <c r="F802" s="6"/>
      <c r="G802" s="6"/>
      <c r="H802" s="6"/>
      <c r="I802" s="6"/>
    </row>
    <row r="803" spans="3:9" x14ac:dyDescent="0.15">
      <c r="C803" s="6"/>
      <c r="D803" s="6"/>
      <c r="E803" s="6"/>
      <c r="F803" s="6"/>
      <c r="G803" s="6"/>
      <c r="H803" s="6"/>
      <c r="I803" s="6"/>
    </row>
    <row r="804" spans="3:9" x14ac:dyDescent="0.15">
      <c r="C804" s="6"/>
      <c r="D804" s="6"/>
      <c r="E804" s="6"/>
      <c r="F804" s="6"/>
      <c r="G804" s="6"/>
      <c r="H804" s="6"/>
      <c r="I804" s="6"/>
    </row>
    <row r="805" spans="3:9" x14ac:dyDescent="0.15">
      <c r="C805" s="6"/>
      <c r="D805" s="6"/>
      <c r="E805" s="6"/>
      <c r="F805" s="6"/>
      <c r="G805" s="6"/>
      <c r="H805" s="6"/>
      <c r="I805" s="6"/>
    </row>
    <row r="806" spans="3:9" x14ac:dyDescent="0.15">
      <c r="C806" s="6"/>
      <c r="D806" s="6"/>
      <c r="E806" s="6"/>
      <c r="F806" s="6"/>
      <c r="G806" s="6"/>
      <c r="H806" s="6"/>
      <c r="I806" s="6"/>
    </row>
    <row r="807" spans="3:9" x14ac:dyDescent="0.15">
      <c r="C807" s="6"/>
      <c r="D807" s="6"/>
      <c r="E807" s="6"/>
      <c r="F807" s="6"/>
      <c r="G807" s="6"/>
      <c r="H807" s="6"/>
      <c r="I807" s="6"/>
    </row>
    <row r="808" spans="3:9" x14ac:dyDescent="0.15">
      <c r="C808" s="6"/>
      <c r="D808" s="6"/>
      <c r="E808" s="6"/>
      <c r="F808" s="6"/>
      <c r="G808" s="6"/>
      <c r="H808" s="6"/>
      <c r="I808" s="6"/>
    </row>
    <row r="809" spans="3:9" x14ac:dyDescent="0.15">
      <c r="C809" s="6"/>
      <c r="D809" s="6"/>
      <c r="E809" s="6"/>
      <c r="F809" s="6"/>
      <c r="G809" s="6"/>
      <c r="H809" s="6"/>
      <c r="I809" s="6"/>
    </row>
    <row r="810" spans="3:9" x14ac:dyDescent="0.15">
      <c r="C810" s="6"/>
      <c r="D810" s="6"/>
      <c r="E810" s="6"/>
      <c r="F810" s="6"/>
      <c r="G810" s="6"/>
      <c r="H810" s="6"/>
      <c r="I810" s="6"/>
    </row>
    <row r="811" spans="3:9" x14ac:dyDescent="0.15">
      <c r="C811" s="6"/>
      <c r="D811" s="6"/>
      <c r="E811" s="6"/>
      <c r="F811" s="6"/>
      <c r="G811" s="6"/>
      <c r="H811" s="6"/>
      <c r="I811" s="6"/>
    </row>
    <row r="812" spans="3:9" x14ac:dyDescent="0.15">
      <c r="C812" s="6"/>
      <c r="D812" s="6"/>
      <c r="E812" s="6"/>
      <c r="F812" s="6"/>
      <c r="G812" s="6"/>
      <c r="H812" s="6"/>
      <c r="I812" s="6"/>
    </row>
    <row r="813" spans="3:9" x14ac:dyDescent="0.15">
      <c r="C813" s="6"/>
      <c r="D813" s="6"/>
      <c r="E813" s="6"/>
      <c r="F813" s="6"/>
      <c r="G813" s="6"/>
      <c r="H813" s="6"/>
      <c r="I813" s="6"/>
    </row>
    <row r="814" spans="3:9" x14ac:dyDescent="0.15">
      <c r="C814" s="6"/>
      <c r="D814" s="6"/>
      <c r="E814" s="6"/>
      <c r="F814" s="6"/>
      <c r="G814" s="6"/>
      <c r="H814" s="6"/>
      <c r="I814" s="6"/>
    </row>
    <row r="815" spans="3:9" x14ac:dyDescent="0.15">
      <c r="C815" s="6"/>
      <c r="D815" s="6"/>
      <c r="E815" s="6"/>
      <c r="F815" s="6"/>
      <c r="G815" s="6"/>
      <c r="H815" s="6"/>
      <c r="I815" s="6"/>
    </row>
    <row r="816" spans="3:9" x14ac:dyDescent="0.15">
      <c r="C816" s="6"/>
      <c r="D816" s="6"/>
      <c r="E816" s="6"/>
      <c r="F816" s="6"/>
      <c r="G816" s="6"/>
      <c r="H816" s="6"/>
      <c r="I816" s="6"/>
    </row>
    <row r="817" spans="3:9" x14ac:dyDescent="0.15">
      <c r="C817" s="6"/>
      <c r="D817" s="6"/>
      <c r="E817" s="6"/>
      <c r="F817" s="6"/>
      <c r="G817" s="6"/>
      <c r="H817" s="6"/>
      <c r="I817" s="6"/>
    </row>
    <row r="818" spans="3:9" x14ac:dyDescent="0.15">
      <c r="C818" s="6"/>
      <c r="D818" s="6"/>
      <c r="E818" s="6"/>
      <c r="F818" s="6"/>
      <c r="G818" s="6"/>
      <c r="H818" s="6"/>
      <c r="I818" s="6"/>
    </row>
    <row r="819" spans="3:9" x14ac:dyDescent="0.15">
      <c r="C819" s="6"/>
      <c r="D819" s="6"/>
      <c r="E819" s="6"/>
      <c r="F819" s="6"/>
      <c r="G819" s="6"/>
      <c r="H819" s="6"/>
      <c r="I819" s="6"/>
    </row>
    <row r="820" spans="3:9" x14ac:dyDescent="0.15">
      <c r="C820" s="6"/>
      <c r="D820" s="6"/>
      <c r="E820" s="6"/>
      <c r="F820" s="6"/>
      <c r="G820" s="6"/>
      <c r="H820" s="6"/>
      <c r="I820" s="6"/>
    </row>
    <row r="821" spans="3:9" x14ac:dyDescent="0.15">
      <c r="C821" s="6"/>
      <c r="D821" s="6"/>
      <c r="E821" s="6"/>
      <c r="F821" s="6"/>
      <c r="G821" s="6"/>
      <c r="H821" s="6"/>
      <c r="I821" s="6"/>
    </row>
    <row r="822" spans="3:9" x14ac:dyDescent="0.15">
      <c r="C822" s="6"/>
      <c r="D822" s="6"/>
      <c r="E822" s="6"/>
      <c r="F822" s="6"/>
      <c r="G822" s="6"/>
      <c r="H822" s="6"/>
      <c r="I822" s="6"/>
    </row>
    <row r="823" spans="3:9" x14ac:dyDescent="0.15">
      <c r="C823" s="6"/>
      <c r="D823" s="6"/>
      <c r="E823" s="6"/>
      <c r="F823" s="6"/>
      <c r="G823" s="6"/>
      <c r="H823" s="6"/>
      <c r="I823" s="6"/>
    </row>
    <row r="824" spans="3:9" x14ac:dyDescent="0.15">
      <c r="C824" s="6"/>
      <c r="D824" s="6"/>
      <c r="E824" s="6"/>
      <c r="F824" s="6"/>
      <c r="G824" s="6"/>
      <c r="H824" s="6"/>
      <c r="I824" s="6"/>
    </row>
    <row r="825" spans="3:9" x14ac:dyDescent="0.15">
      <c r="C825" s="6"/>
      <c r="D825" s="6"/>
      <c r="E825" s="6"/>
      <c r="F825" s="6"/>
      <c r="G825" s="6"/>
      <c r="H825" s="6"/>
      <c r="I825" s="6"/>
    </row>
    <row r="826" spans="3:9" x14ac:dyDescent="0.15">
      <c r="C826" s="6"/>
      <c r="D826" s="6"/>
      <c r="E826" s="6"/>
      <c r="F826" s="6"/>
      <c r="G826" s="6"/>
      <c r="H826" s="6"/>
      <c r="I826" s="6"/>
    </row>
    <row r="827" spans="3:9" x14ac:dyDescent="0.15">
      <c r="C827" s="6"/>
      <c r="D827" s="6"/>
      <c r="E827" s="6"/>
      <c r="F827" s="6"/>
      <c r="G827" s="6"/>
      <c r="H827" s="6"/>
      <c r="I827" s="6"/>
    </row>
    <row r="828" spans="3:9" x14ac:dyDescent="0.15">
      <c r="C828" s="6"/>
      <c r="D828" s="6"/>
      <c r="E828" s="6"/>
      <c r="F828" s="6"/>
      <c r="G828" s="6"/>
      <c r="H828" s="6"/>
      <c r="I828" s="6"/>
    </row>
    <row r="829" spans="3:9" x14ac:dyDescent="0.15">
      <c r="C829" s="6"/>
      <c r="D829" s="6"/>
      <c r="E829" s="6"/>
      <c r="F829" s="6"/>
      <c r="G829" s="6"/>
      <c r="H829" s="6"/>
      <c r="I829" s="6"/>
    </row>
    <row r="830" spans="3:9" x14ac:dyDescent="0.15">
      <c r="C830" s="6"/>
      <c r="D830" s="6"/>
      <c r="E830" s="6"/>
      <c r="F830" s="6"/>
      <c r="G830" s="6"/>
      <c r="H830" s="6"/>
      <c r="I830" s="6"/>
    </row>
    <row r="831" spans="3:9" x14ac:dyDescent="0.15">
      <c r="C831" s="6"/>
      <c r="D831" s="6"/>
      <c r="E831" s="6"/>
      <c r="F831" s="6"/>
      <c r="G831" s="6"/>
      <c r="H831" s="6"/>
      <c r="I831" s="6"/>
    </row>
    <row r="832" spans="3:9" x14ac:dyDescent="0.15">
      <c r="C832" s="6"/>
      <c r="D832" s="6"/>
      <c r="E832" s="6"/>
      <c r="F832" s="6"/>
      <c r="G832" s="6"/>
      <c r="H832" s="6"/>
      <c r="I832" s="6"/>
    </row>
    <row r="833" spans="3:9" x14ac:dyDescent="0.15">
      <c r="C833" s="6"/>
      <c r="D833" s="6"/>
      <c r="E833" s="6"/>
      <c r="F833" s="6"/>
      <c r="G833" s="6"/>
      <c r="H833" s="6"/>
      <c r="I833" s="6"/>
    </row>
    <row r="834" spans="3:9" x14ac:dyDescent="0.15">
      <c r="C834" s="6"/>
      <c r="D834" s="6"/>
      <c r="E834" s="6"/>
      <c r="F834" s="6"/>
      <c r="G834" s="6"/>
      <c r="H834" s="6"/>
      <c r="I834" s="6"/>
    </row>
    <row r="835" spans="3:9" x14ac:dyDescent="0.15">
      <c r="C835" s="6"/>
      <c r="D835" s="6"/>
      <c r="E835" s="6"/>
      <c r="F835" s="6"/>
      <c r="G835" s="6"/>
      <c r="H835" s="6"/>
      <c r="I835" s="6"/>
    </row>
    <row r="836" spans="3:9" x14ac:dyDescent="0.15">
      <c r="C836" s="6"/>
      <c r="D836" s="6"/>
      <c r="E836" s="6"/>
      <c r="F836" s="6"/>
      <c r="G836" s="6"/>
      <c r="H836" s="6"/>
      <c r="I836" s="6"/>
    </row>
    <row r="837" spans="3:9" x14ac:dyDescent="0.15">
      <c r="C837" s="6"/>
      <c r="D837" s="6"/>
      <c r="E837" s="6"/>
      <c r="F837" s="6"/>
      <c r="G837" s="6"/>
      <c r="H837" s="6"/>
      <c r="I837" s="6"/>
    </row>
    <row r="838" spans="3:9" x14ac:dyDescent="0.15">
      <c r="C838" s="6"/>
      <c r="D838" s="6"/>
      <c r="E838" s="6"/>
      <c r="F838" s="6"/>
      <c r="G838" s="6"/>
      <c r="H838" s="6"/>
      <c r="I838" s="6"/>
    </row>
    <row r="839" spans="3:9" x14ac:dyDescent="0.15">
      <c r="C839" s="6"/>
      <c r="D839" s="6"/>
      <c r="E839" s="6"/>
      <c r="F839" s="6"/>
      <c r="G839" s="6"/>
      <c r="H839" s="6"/>
      <c r="I839" s="6"/>
    </row>
    <row r="840" spans="3:9" x14ac:dyDescent="0.15">
      <c r="C840" s="6"/>
      <c r="D840" s="6"/>
      <c r="E840" s="6"/>
      <c r="F840" s="6"/>
      <c r="G840" s="6"/>
      <c r="H840" s="6"/>
      <c r="I840" s="6"/>
    </row>
    <row r="841" spans="3:9" x14ac:dyDescent="0.15">
      <c r="C841" s="6"/>
      <c r="D841" s="6"/>
      <c r="E841" s="6"/>
      <c r="F841" s="6"/>
      <c r="G841" s="6"/>
      <c r="H841" s="6"/>
      <c r="I841" s="6"/>
    </row>
    <row r="842" spans="3:9" x14ac:dyDescent="0.15">
      <c r="C842" s="6"/>
      <c r="D842" s="6"/>
      <c r="E842" s="6"/>
      <c r="F842" s="6"/>
      <c r="G842" s="6"/>
      <c r="H842" s="6"/>
      <c r="I842" s="6"/>
    </row>
    <row r="843" spans="3:9" x14ac:dyDescent="0.15">
      <c r="C843" s="6"/>
      <c r="D843" s="6"/>
      <c r="E843" s="6"/>
      <c r="F843" s="6"/>
      <c r="G843" s="6"/>
      <c r="H843" s="6"/>
      <c r="I843" s="6"/>
    </row>
    <row r="844" spans="3:9" x14ac:dyDescent="0.15">
      <c r="C844" s="6"/>
      <c r="D844" s="6"/>
      <c r="E844" s="6"/>
      <c r="F844" s="6"/>
      <c r="G844" s="6"/>
      <c r="H844" s="6"/>
      <c r="I844" s="6"/>
    </row>
    <row r="845" spans="3:9" x14ac:dyDescent="0.15">
      <c r="C845" s="6"/>
      <c r="D845" s="6"/>
      <c r="E845" s="6"/>
      <c r="F845" s="6"/>
      <c r="G845" s="6"/>
      <c r="H845" s="6"/>
      <c r="I845" s="6"/>
    </row>
    <row r="846" spans="3:9" x14ac:dyDescent="0.15">
      <c r="C846" s="6"/>
      <c r="D846" s="6"/>
      <c r="E846" s="6"/>
      <c r="F846" s="6"/>
      <c r="G846" s="6"/>
      <c r="H846" s="6"/>
      <c r="I846" s="6"/>
    </row>
    <row r="847" spans="3:9" x14ac:dyDescent="0.15">
      <c r="C847" s="6"/>
      <c r="D847" s="6"/>
      <c r="E847" s="6"/>
      <c r="F847" s="6"/>
      <c r="G847" s="6"/>
      <c r="H847" s="6"/>
      <c r="I847" s="6"/>
    </row>
    <row r="848" spans="3:9" x14ac:dyDescent="0.15">
      <c r="C848" s="6"/>
      <c r="D848" s="6"/>
      <c r="E848" s="6"/>
      <c r="F848" s="6"/>
      <c r="G848" s="6"/>
      <c r="H848" s="6"/>
      <c r="I848" s="6"/>
    </row>
    <row r="849" spans="3:9" x14ac:dyDescent="0.15">
      <c r="C849" s="6"/>
      <c r="D849" s="6"/>
      <c r="E849" s="6"/>
      <c r="F849" s="6"/>
      <c r="G849" s="6"/>
      <c r="H849" s="6"/>
      <c r="I849" s="6"/>
    </row>
    <row r="850" spans="3:9" x14ac:dyDescent="0.15">
      <c r="C850" s="6"/>
      <c r="D850" s="6"/>
      <c r="E850" s="6"/>
      <c r="F850" s="6"/>
      <c r="G850" s="6"/>
      <c r="H850" s="6"/>
      <c r="I850" s="6"/>
    </row>
    <row r="851" spans="3:9" x14ac:dyDescent="0.15">
      <c r="C851" s="6"/>
      <c r="D851" s="6"/>
      <c r="E851" s="6"/>
      <c r="F851" s="6"/>
      <c r="G851" s="6"/>
      <c r="H851" s="6"/>
      <c r="I851" s="6"/>
    </row>
    <row r="852" spans="3:9" x14ac:dyDescent="0.15">
      <c r="C852" s="6"/>
      <c r="D852" s="6"/>
      <c r="E852" s="6"/>
      <c r="F852" s="6"/>
      <c r="G852" s="6"/>
      <c r="H852" s="6"/>
      <c r="I852" s="6"/>
    </row>
    <row r="853" spans="3:9" x14ac:dyDescent="0.15">
      <c r="C853" s="6"/>
      <c r="D853" s="6"/>
      <c r="E853" s="6"/>
      <c r="F853" s="6"/>
      <c r="G853" s="6"/>
      <c r="H853" s="6"/>
      <c r="I853" s="6"/>
    </row>
    <row r="854" spans="3:9" x14ac:dyDescent="0.15">
      <c r="C854" s="6"/>
      <c r="D854" s="6"/>
      <c r="E854" s="6"/>
      <c r="F854" s="6"/>
      <c r="G854" s="6"/>
      <c r="H854" s="6"/>
      <c r="I854" s="6"/>
    </row>
    <row r="855" spans="3:9" x14ac:dyDescent="0.15">
      <c r="C855" s="6"/>
      <c r="D855" s="6"/>
      <c r="E855" s="6"/>
      <c r="F855" s="6"/>
      <c r="G855" s="6"/>
      <c r="H855" s="6"/>
      <c r="I855" s="6"/>
    </row>
    <row r="856" spans="3:9" x14ac:dyDescent="0.15">
      <c r="C856" s="6"/>
      <c r="D856" s="6"/>
      <c r="E856" s="6"/>
      <c r="F856" s="6"/>
      <c r="G856" s="6"/>
      <c r="H856" s="6"/>
      <c r="I856" s="6"/>
    </row>
    <row r="857" spans="3:9" x14ac:dyDescent="0.15">
      <c r="C857" s="6"/>
      <c r="D857" s="6"/>
      <c r="E857" s="6"/>
      <c r="F857" s="6"/>
      <c r="G857" s="6"/>
      <c r="H857" s="6"/>
      <c r="I857" s="6"/>
    </row>
    <row r="858" spans="3:9" x14ac:dyDescent="0.15">
      <c r="C858" s="6"/>
      <c r="D858" s="6"/>
      <c r="E858" s="6"/>
      <c r="F858" s="6"/>
      <c r="G858" s="6"/>
      <c r="H858" s="6"/>
      <c r="I858" s="6"/>
    </row>
    <row r="859" spans="3:9" x14ac:dyDescent="0.15">
      <c r="C859" s="6"/>
      <c r="D859" s="6"/>
      <c r="E859" s="6"/>
      <c r="F859" s="6"/>
      <c r="G859" s="6"/>
      <c r="H859" s="6"/>
      <c r="I859" s="6"/>
    </row>
    <row r="860" spans="3:9" x14ac:dyDescent="0.15">
      <c r="C860" s="6"/>
      <c r="D860" s="6"/>
      <c r="E860" s="6"/>
      <c r="F860" s="6"/>
      <c r="G860" s="6"/>
      <c r="H860" s="6"/>
      <c r="I860" s="6"/>
    </row>
    <row r="861" spans="3:9" x14ac:dyDescent="0.15">
      <c r="C861" s="6"/>
      <c r="D861" s="6"/>
      <c r="E861" s="6"/>
      <c r="F861" s="6"/>
      <c r="G861" s="6"/>
      <c r="H861" s="6"/>
      <c r="I861" s="6"/>
    </row>
    <row r="862" spans="3:9" x14ac:dyDescent="0.15">
      <c r="C862" s="6"/>
      <c r="D862" s="6"/>
      <c r="E862" s="6"/>
      <c r="F862" s="6"/>
      <c r="G862" s="6"/>
      <c r="H862" s="6"/>
      <c r="I862" s="6"/>
    </row>
    <row r="863" spans="3:9" x14ac:dyDescent="0.15">
      <c r="C863" s="6"/>
      <c r="D863" s="6"/>
      <c r="E863" s="6"/>
      <c r="F863" s="6"/>
      <c r="G863" s="6"/>
      <c r="H863" s="6"/>
      <c r="I863" s="6"/>
    </row>
    <row r="864" spans="3:9" x14ac:dyDescent="0.15">
      <c r="C864" s="6"/>
      <c r="D864" s="6"/>
      <c r="E864" s="6"/>
      <c r="F864" s="6"/>
      <c r="G864" s="6"/>
      <c r="H864" s="6"/>
      <c r="I864" s="6"/>
    </row>
    <row r="865" spans="3:9" x14ac:dyDescent="0.15">
      <c r="C865" s="6"/>
      <c r="D865" s="6"/>
      <c r="E865" s="6"/>
      <c r="F865" s="6"/>
      <c r="G865" s="6"/>
      <c r="H865" s="6"/>
      <c r="I865" s="6"/>
    </row>
    <row r="866" spans="3:9" x14ac:dyDescent="0.15">
      <c r="C866" s="6"/>
      <c r="D866" s="6"/>
      <c r="E866" s="6"/>
      <c r="F866" s="6"/>
      <c r="G866" s="6"/>
      <c r="H866" s="6"/>
      <c r="I866" s="6"/>
    </row>
    <row r="867" spans="3:9" x14ac:dyDescent="0.15">
      <c r="C867" s="6"/>
      <c r="D867" s="6"/>
      <c r="E867" s="6"/>
      <c r="F867" s="6"/>
      <c r="G867" s="6"/>
      <c r="H867" s="6"/>
      <c r="I867" s="6"/>
    </row>
    <row r="868" spans="3:9" x14ac:dyDescent="0.15">
      <c r="C868" s="6"/>
      <c r="D868" s="6"/>
      <c r="E868" s="6"/>
      <c r="F868" s="6"/>
      <c r="G868" s="6"/>
      <c r="H868" s="6"/>
      <c r="I868" s="6"/>
    </row>
    <row r="869" spans="3:9" x14ac:dyDescent="0.15">
      <c r="C869" s="6"/>
      <c r="D869" s="6"/>
      <c r="E869" s="6"/>
      <c r="F869" s="6"/>
      <c r="G869" s="6"/>
      <c r="H869" s="6"/>
      <c r="I869" s="6"/>
    </row>
    <row r="870" spans="3:9" x14ac:dyDescent="0.15">
      <c r="C870" s="6"/>
      <c r="D870" s="6"/>
      <c r="E870" s="6"/>
      <c r="F870" s="6"/>
      <c r="G870" s="6"/>
      <c r="H870" s="6"/>
      <c r="I870" s="6"/>
    </row>
    <row r="871" spans="3:9" x14ac:dyDescent="0.15">
      <c r="C871" s="6"/>
      <c r="D871" s="6"/>
      <c r="E871" s="6"/>
      <c r="F871" s="6"/>
      <c r="G871" s="6"/>
      <c r="H871" s="6"/>
      <c r="I871" s="6"/>
    </row>
    <row r="872" spans="3:9" x14ac:dyDescent="0.15">
      <c r="C872" s="6"/>
      <c r="D872" s="6"/>
      <c r="E872" s="6"/>
      <c r="F872" s="6"/>
      <c r="G872" s="6"/>
      <c r="H872" s="6"/>
      <c r="I872" s="6"/>
    </row>
    <row r="873" spans="3:9" x14ac:dyDescent="0.15">
      <c r="C873" s="6"/>
      <c r="D873" s="6"/>
      <c r="E873" s="6"/>
      <c r="F873" s="6"/>
      <c r="G873" s="6"/>
      <c r="H873" s="6"/>
      <c r="I873" s="6"/>
    </row>
    <row r="874" spans="3:9" x14ac:dyDescent="0.15">
      <c r="C874" s="6"/>
      <c r="D874" s="6"/>
      <c r="E874" s="6"/>
      <c r="F874" s="6"/>
      <c r="G874" s="6"/>
      <c r="H874" s="6"/>
      <c r="I874" s="6"/>
    </row>
    <row r="875" spans="3:9" x14ac:dyDescent="0.15">
      <c r="C875" s="6"/>
      <c r="D875" s="6"/>
      <c r="E875" s="6"/>
      <c r="F875" s="6"/>
      <c r="G875" s="6"/>
      <c r="H875" s="6"/>
      <c r="I875" s="6"/>
    </row>
    <row r="876" spans="3:9" x14ac:dyDescent="0.15">
      <c r="C876" s="6"/>
      <c r="D876" s="6"/>
      <c r="E876" s="6"/>
      <c r="F876" s="6"/>
      <c r="G876" s="6"/>
      <c r="H876" s="6"/>
      <c r="I876" s="6"/>
    </row>
    <row r="877" spans="3:9" x14ac:dyDescent="0.15">
      <c r="C877" s="6"/>
      <c r="D877" s="6"/>
      <c r="E877" s="6"/>
      <c r="F877" s="6"/>
      <c r="G877" s="6"/>
      <c r="H877" s="6"/>
      <c r="I877" s="6"/>
    </row>
    <row r="878" spans="3:9" x14ac:dyDescent="0.15">
      <c r="C878" s="6"/>
      <c r="D878" s="6"/>
      <c r="E878" s="6"/>
      <c r="F878" s="6"/>
      <c r="G878" s="6"/>
      <c r="H878" s="6"/>
      <c r="I878" s="6"/>
    </row>
    <row r="879" spans="3:9" x14ac:dyDescent="0.15">
      <c r="C879" s="6"/>
      <c r="D879" s="6"/>
      <c r="E879" s="6"/>
      <c r="F879" s="6"/>
      <c r="G879" s="6"/>
      <c r="H879" s="6"/>
      <c r="I879" s="6"/>
    </row>
    <row r="880" spans="3:9" x14ac:dyDescent="0.15">
      <c r="C880" s="6"/>
      <c r="D880" s="6"/>
      <c r="E880" s="6"/>
      <c r="F880" s="6"/>
      <c r="G880" s="6"/>
      <c r="H880" s="6"/>
      <c r="I880" s="6"/>
    </row>
    <row r="881" spans="3:9" x14ac:dyDescent="0.15">
      <c r="C881" s="6"/>
      <c r="D881" s="6"/>
      <c r="E881" s="6"/>
      <c r="F881" s="6"/>
      <c r="G881" s="6"/>
      <c r="H881" s="6"/>
      <c r="I881" s="6"/>
    </row>
    <row r="882" spans="3:9" x14ac:dyDescent="0.15">
      <c r="C882" s="6"/>
      <c r="D882" s="6"/>
      <c r="E882" s="6"/>
      <c r="F882" s="6"/>
      <c r="G882" s="6"/>
      <c r="H882" s="6"/>
      <c r="I882" s="6"/>
    </row>
    <row r="883" spans="3:9" x14ac:dyDescent="0.15">
      <c r="C883" s="6"/>
      <c r="D883" s="6"/>
      <c r="E883" s="6"/>
      <c r="F883" s="6"/>
      <c r="G883" s="6"/>
      <c r="H883" s="6"/>
      <c r="I883" s="6"/>
    </row>
    <row r="884" spans="3:9" x14ac:dyDescent="0.15">
      <c r="C884" s="6"/>
      <c r="D884" s="6"/>
      <c r="E884" s="6"/>
      <c r="F884" s="6"/>
      <c r="G884" s="6"/>
      <c r="H884" s="6"/>
      <c r="I884" s="6"/>
    </row>
    <row r="885" spans="3:9" x14ac:dyDescent="0.15">
      <c r="C885" s="6"/>
      <c r="D885" s="6"/>
      <c r="E885" s="6"/>
      <c r="F885" s="6"/>
      <c r="G885" s="6"/>
      <c r="H885" s="6"/>
      <c r="I885" s="6"/>
    </row>
    <row r="886" spans="3:9" x14ac:dyDescent="0.15">
      <c r="C886" s="6"/>
      <c r="D886" s="6"/>
      <c r="E886" s="6"/>
      <c r="F886" s="6"/>
      <c r="G886" s="6"/>
      <c r="H886" s="6"/>
      <c r="I886" s="6"/>
    </row>
    <row r="887" spans="3:9" x14ac:dyDescent="0.15">
      <c r="C887" s="6"/>
      <c r="D887" s="6"/>
      <c r="E887" s="6"/>
      <c r="F887" s="6"/>
      <c r="G887" s="6"/>
      <c r="H887" s="6"/>
      <c r="I887" s="6"/>
    </row>
    <row r="888" spans="3:9" x14ac:dyDescent="0.15">
      <c r="C888" s="6"/>
      <c r="D888" s="6"/>
      <c r="E888" s="6"/>
      <c r="F888" s="6"/>
      <c r="G888" s="6"/>
      <c r="H888" s="6"/>
      <c r="I888" s="6"/>
    </row>
    <row r="889" spans="3:9" x14ac:dyDescent="0.15">
      <c r="C889" s="6"/>
      <c r="D889" s="6"/>
      <c r="E889" s="6"/>
      <c r="F889" s="6"/>
      <c r="G889" s="6"/>
      <c r="H889" s="6"/>
      <c r="I889" s="6"/>
    </row>
    <row r="890" spans="3:9" x14ac:dyDescent="0.15">
      <c r="C890" s="6"/>
      <c r="D890" s="6"/>
      <c r="E890" s="6"/>
      <c r="F890" s="6"/>
      <c r="G890" s="6"/>
      <c r="H890" s="6"/>
      <c r="I890" s="6"/>
    </row>
    <row r="891" spans="3:9" x14ac:dyDescent="0.15">
      <c r="C891" s="6"/>
      <c r="D891" s="6"/>
      <c r="E891" s="6"/>
      <c r="F891" s="6"/>
      <c r="G891" s="6"/>
      <c r="H891" s="6"/>
      <c r="I891" s="6"/>
    </row>
    <row r="892" spans="3:9" x14ac:dyDescent="0.15">
      <c r="C892" s="6"/>
      <c r="D892" s="6"/>
      <c r="E892" s="6"/>
      <c r="F892" s="6"/>
      <c r="G892" s="6"/>
      <c r="H892" s="6"/>
      <c r="I892" s="6"/>
    </row>
    <row r="893" spans="3:9" x14ac:dyDescent="0.15">
      <c r="C893" s="6"/>
      <c r="D893" s="6"/>
      <c r="E893" s="6"/>
      <c r="F893" s="6"/>
      <c r="G893" s="6"/>
      <c r="H893" s="6"/>
      <c r="I893" s="6"/>
    </row>
    <row r="894" spans="3:9" x14ac:dyDescent="0.15">
      <c r="C894" s="6"/>
      <c r="D894" s="6"/>
      <c r="E894" s="6"/>
      <c r="F894" s="6"/>
      <c r="G894" s="6"/>
      <c r="H894" s="6"/>
      <c r="I894" s="6"/>
    </row>
    <row r="895" spans="3:9" x14ac:dyDescent="0.15">
      <c r="C895" s="6"/>
      <c r="D895" s="6"/>
      <c r="E895" s="6"/>
      <c r="F895" s="6"/>
      <c r="G895" s="6"/>
      <c r="H895" s="6"/>
      <c r="I895" s="6"/>
    </row>
    <row r="896" spans="3:9" x14ac:dyDescent="0.15">
      <c r="C896" s="6"/>
      <c r="D896" s="6"/>
      <c r="E896" s="6"/>
      <c r="F896" s="6"/>
      <c r="G896" s="6"/>
      <c r="H896" s="6"/>
      <c r="I896" s="6"/>
    </row>
    <row r="897" spans="3:9" x14ac:dyDescent="0.15">
      <c r="C897" s="6"/>
      <c r="D897" s="6"/>
      <c r="E897" s="6"/>
      <c r="F897" s="6"/>
      <c r="G897" s="6"/>
      <c r="H897" s="6"/>
      <c r="I897" s="6"/>
    </row>
    <row r="898" spans="3:9" x14ac:dyDescent="0.15">
      <c r="C898" s="6"/>
      <c r="D898" s="6"/>
      <c r="E898" s="6"/>
      <c r="F898" s="6"/>
      <c r="G898" s="6"/>
      <c r="H898" s="6"/>
      <c r="I898" s="6"/>
    </row>
    <row r="899" spans="3:9" x14ac:dyDescent="0.15">
      <c r="C899" s="6"/>
      <c r="D899" s="6"/>
      <c r="E899" s="6"/>
      <c r="F899" s="6"/>
      <c r="G899" s="6"/>
      <c r="H899" s="6"/>
      <c r="I899" s="6"/>
    </row>
    <row r="900" spans="3:9" x14ac:dyDescent="0.15">
      <c r="C900" s="6"/>
      <c r="D900" s="6"/>
      <c r="E900" s="6"/>
      <c r="F900" s="6"/>
      <c r="G900" s="6"/>
      <c r="H900" s="6"/>
      <c r="I900" s="6"/>
    </row>
    <row r="901" spans="3:9" x14ac:dyDescent="0.15">
      <c r="C901" s="6"/>
      <c r="D901" s="6"/>
      <c r="E901" s="6"/>
      <c r="F901" s="6"/>
      <c r="G901" s="6"/>
      <c r="H901" s="6"/>
      <c r="I901" s="6"/>
    </row>
    <row r="902" spans="3:9" x14ac:dyDescent="0.15">
      <c r="C902" s="6"/>
      <c r="D902" s="6"/>
      <c r="E902" s="6"/>
      <c r="F902" s="6"/>
      <c r="G902" s="6"/>
      <c r="H902" s="6"/>
      <c r="I902" s="6"/>
    </row>
    <row r="903" spans="3:9" x14ac:dyDescent="0.15">
      <c r="C903" s="6"/>
      <c r="D903" s="6"/>
      <c r="E903" s="6"/>
      <c r="F903" s="6"/>
      <c r="G903" s="6"/>
      <c r="H903" s="6"/>
      <c r="I903" s="6"/>
    </row>
    <row r="904" spans="3:9" x14ac:dyDescent="0.15">
      <c r="C904" s="6"/>
      <c r="D904" s="6"/>
      <c r="E904" s="6"/>
      <c r="F904" s="6"/>
      <c r="G904" s="6"/>
      <c r="H904" s="6"/>
      <c r="I904" s="6"/>
    </row>
    <row r="905" spans="3:9" x14ac:dyDescent="0.15">
      <c r="C905" s="6"/>
      <c r="D905" s="6"/>
      <c r="E905" s="6"/>
      <c r="F905" s="6"/>
      <c r="G905" s="6"/>
      <c r="H905" s="6"/>
      <c r="I905" s="6"/>
    </row>
    <row r="906" spans="3:9" x14ac:dyDescent="0.15">
      <c r="C906" s="6"/>
      <c r="D906" s="6"/>
      <c r="E906" s="6"/>
      <c r="F906" s="6"/>
      <c r="G906" s="6"/>
      <c r="H906" s="6"/>
      <c r="I906" s="6"/>
    </row>
    <row r="907" spans="3:9" x14ac:dyDescent="0.15">
      <c r="C907" s="6"/>
      <c r="D907" s="6"/>
      <c r="E907" s="6"/>
      <c r="F907" s="6"/>
      <c r="G907" s="6"/>
      <c r="H907" s="6"/>
      <c r="I907" s="6"/>
    </row>
    <row r="908" spans="3:9" x14ac:dyDescent="0.15">
      <c r="C908" s="6"/>
      <c r="D908" s="6"/>
      <c r="E908" s="6"/>
      <c r="F908" s="6"/>
      <c r="G908" s="6"/>
      <c r="H908" s="6"/>
      <c r="I908" s="6"/>
    </row>
    <row r="909" spans="3:9" x14ac:dyDescent="0.15">
      <c r="C909" s="6"/>
      <c r="D909" s="6"/>
      <c r="E909" s="6"/>
      <c r="F909" s="6"/>
      <c r="G909" s="6"/>
      <c r="H909" s="6"/>
      <c r="I909" s="6"/>
    </row>
    <row r="910" spans="3:9" x14ac:dyDescent="0.15">
      <c r="C910" s="6"/>
      <c r="D910" s="6"/>
      <c r="E910" s="6"/>
      <c r="F910" s="6"/>
      <c r="G910" s="6"/>
      <c r="H910" s="6"/>
      <c r="I910" s="6"/>
    </row>
    <row r="911" spans="3:9" x14ac:dyDescent="0.15">
      <c r="C911" s="6"/>
      <c r="D911" s="6"/>
      <c r="E911" s="6"/>
      <c r="F911" s="6"/>
      <c r="G911" s="6"/>
      <c r="H911" s="6"/>
      <c r="I911" s="6"/>
    </row>
    <row r="912" spans="3:9" x14ac:dyDescent="0.15">
      <c r="C912" s="6"/>
      <c r="D912" s="6"/>
      <c r="E912" s="6"/>
      <c r="F912" s="6"/>
      <c r="G912" s="6"/>
      <c r="H912" s="6"/>
      <c r="I912" s="6"/>
    </row>
    <row r="913" spans="3:9" x14ac:dyDescent="0.15">
      <c r="C913" s="6"/>
      <c r="D913" s="6"/>
      <c r="E913" s="6"/>
      <c r="F913" s="6"/>
      <c r="G913" s="6"/>
      <c r="H913" s="6"/>
      <c r="I913" s="6"/>
    </row>
    <row r="914" spans="3:9" x14ac:dyDescent="0.15">
      <c r="C914" s="6"/>
      <c r="D914" s="6"/>
      <c r="E914" s="6"/>
      <c r="F914" s="6"/>
      <c r="G914" s="6"/>
      <c r="H914" s="6"/>
      <c r="I914" s="6"/>
    </row>
    <row r="915" spans="3:9" x14ac:dyDescent="0.15">
      <c r="C915" s="6"/>
      <c r="D915" s="6"/>
      <c r="E915" s="6"/>
      <c r="F915" s="6"/>
      <c r="G915" s="6"/>
      <c r="H915" s="6"/>
      <c r="I915" s="6"/>
    </row>
    <row r="916" spans="3:9" x14ac:dyDescent="0.15">
      <c r="C916" s="6"/>
      <c r="D916" s="6"/>
      <c r="E916" s="6"/>
      <c r="F916" s="6"/>
      <c r="G916" s="6"/>
      <c r="H916" s="6"/>
      <c r="I916" s="6"/>
    </row>
    <row r="917" spans="3:9" x14ac:dyDescent="0.15">
      <c r="C917" s="6"/>
      <c r="D917" s="6"/>
      <c r="E917" s="6"/>
      <c r="F917" s="6"/>
      <c r="G917" s="6"/>
      <c r="H917" s="6"/>
      <c r="I917" s="6"/>
    </row>
    <row r="918" spans="3:9" x14ac:dyDescent="0.15">
      <c r="C918" s="6"/>
      <c r="D918" s="6"/>
      <c r="E918" s="6"/>
      <c r="F918" s="6"/>
      <c r="G918" s="6"/>
      <c r="H918" s="6"/>
      <c r="I918" s="6"/>
    </row>
    <row r="919" spans="3:9" x14ac:dyDescent="0.15">
      <c r="C919" s="6"/>
      <c r="D919" s="6"/>
      <c r="E919" s="6"/>
      <c r="F919" s="6"/>
      <c r="G919" s="6"/>
      <c r="H919" s="6"/>
      <c r="I919" s="6"/>
    </row>
    <row r="920" spans="3:9" x14ac:dyDescent="0.15">
      <c r="C920" s="6"/>
      <c r="D920" s="6"/>
      <c r="E920" s="6"/>
      <c r="F920" s="6"/>
      <c r="G920" s="6"/>
      <c r="H920" s="6"/>
      <c r="I920" s="6"/>
    </row>
    <row r="921" spans="3:9" x14ac:dyDescent="0.15">
      <c r="C921" s="6"/>
      <c r="D921" s="6"/>
      <c r="E921" s="6"/>
      <c r="F921" s="6"/>
      <c r="G921" s="6"/>
      <c r="H921" s="6"/>
      <c r="I921" s="6"/>
    </row>
    <row r="922" spans="3:9" x14ac:dyDescent="0.15">
      <c r="C922" s="6"/>
      <c r="D922" s="6"/>
      <c r="E922" s="6"/>
      <c r="F922" s="6"/>
      <c r="G922" s="6"/>
      <c r="H922" s="6"/>
      <c r="I922" s="6"/>
    </row>
    <row r="923" spans="3:9" x14ac:dyDescent="0.15">
      <c r="C923" s="6"/>
      <c r="D923" s="6"/>
      <c r="E923" s="6"/>
      <c r="F923" s="6"/>
      <c r="G923" s="6"/>
      <c r="H923" s="6"/>
      <c r="I923" s="6"/>
    </row>
    <row r="924" spans="3:9" x14ac:dyDescent="0.15">
      <c r="C924" s="6"/>
      <c r="D924" s="6"/>
      <c r="E924" s="6"/>
      <c r="F924" s="6"/>
      <c r="G924" s="6"/>
      <c r="H924" s="6"/>
      <c r="I924" s="6"/>
    </row>
    <row r="925" spans="3:9" x14ac:dyDescent="0.15">
      <c r="C925" s="6"/>
      <c r="D925" s="6"/>
      <c r="E925" s="6"/>
      <c r="F925" s="6"/>
      <c r="G925" s="6"/>
      <c r="H925" s="6"/>
      <c r="I925" s="6"/>
    </row>
    <row r="926" spans="3:9" x14ac:dyDescent="0.15">
      <c r="C926" s="6"/>
      <c r="D926" s="6"/>
      <c r="E926" s="6"/>
      <c r="F926" s="6"/>
      <c r="G926" s="6"/>
      <c r="H926" s="6"/>
      <c r="I926" s="6"/>
    </row>
    <row r="927" spans="3:9" x14ac:dyDescent="0.15">
      <c r="C927" s="6"/>
      <c r="D927" s="6"/>
      <c r="E927" s="6"/>
      <c r="F927" s="6"/>
      <c r="G927" s="6"/>
      <c r="H927" s="6"/>
      <c r="I927" s="6"/>
    </row>
    <row r="928" spans="3:9" x14ac:dyDescent="0.15">
      <c r="C928" s="6"/>
      <c r="D928" s="6"/>
      <c r="E928" s="6"/>
      <c r="F928" s="6"/>
      <c r="G928" s="6"/>
      <c r="H928" s="6"/>
      <c r="I928" s="6"/>
    </row>
    <row r="929" spans="3:9" x14ac:dyDescent="0.15">
      <c r="C929" s="6"/>
      <c r="D929" s="6"/>
      <c r="E929" s="6"/>
      <c r="F929" s="6"/>
      <c r="G929" s="6"/>
      <c r="H929" s="6"/>
      <c r="I929" s="6"/>
    </row>
    <row r="930" spans="3:9" x14ac:dyDescent="0.15">
      <c r="C930" s="6"/>
      <c r="D930" s="6"/>
      <c r="E930" s="6"/>
      <c r="F930" s="6"/>
      <c r="G930" s="6"/>
      <c r="H930" s="6"/>
      <c r="I930" s="6"/>
    </row>
    <row r="931" spans="3:9" x14ac:dyDescent="0.15">
      <c r="C931" s="6"/>
      <c r="D931" s="6"/>
      <c r="E931" s="6"/>
      <c r="F931" s="6"/>
      <c r="G931" s="6"/>
      <c r="H931" s="6"/>
      <c r="I931" s="6"/>
    </row>
    <row r="932" spans="3:9" x14ac:dyDescent="0.15">
      <c r="C932" s="6"/>
      <c r="D932" s="6"/>
      <c r="E932" s="6"/>
      <c r="F932" s="6"/>
      <c r="G932" s="6"/>
      <c r="H932" s="6"/>
      <c r="I932" s="6"/>
    </row>
    <row r="933" spans="3:9" x14ac:dyDescent="0.15">
      <c r="C933" s="6"/>
      <c r="D933" s="6"/>
      <c r="E933" s="6"/>
      <c r="F933" s="6"/>
      <c r="G933" s="6"/>
      <c r="H933" s="6"/>
      <c r="I933" s="6"/>
    </row>
    <row r="934" spans="3:9" x14ac:dyDescent="0.15">
      <c r="C934" s="6"/>
      <c r="D934" s="6"/>
      <c r="E934" s="6"/>
      <c r="F934" s="6"/>
      <c r="G934" s="6"/>
      <c r="H934" s="6"/>
      <c r="I934" s="6"/>
    </row>
    <row r="935" spans="3:9" x14ac:dyDescent="0.15">
      <c r="C935" s="6"/>
      <c r="D935" s="6"/>
      <c r="E935" s="6"/>
      <c r="F935" s="6"/>
      <c r="G935" s="6"/>
      <c r="H935" s="6"/>
      <c r="I935" s="6"/>
    </row>
    <row r="936" spans="3:9" x14ac:dyDescent="0.15">
      <c r="C936" s="6"/>
      <c r="D936" s="6"/>
      <c r="E936" s="6"/>
      <c r="F936" s="6"/>
      <c r="G936" s="6"/>
      <c r="H936" s="6"/>
      <c r="I936" s="6"/>
    </row>
    <row r="937" spans="3:9" x14ac:dyDescent="0.15">
      <c r="C937" s="6"/>
      <c r="D937" s="6"/>
      <c r="E937" s="6"/>
      <c r="F937" s="6"/>
      <c r="G937" s="6"/>
      <c r="H937" s="6"/>
      <c r="I937" s="6"/>
    </row>
    <row r="938" spans="3:9" x14ac:dyDescent="0.15">
      <c r="C938" s="6"/>
      <c r="D938" s="6"/>
      <c r="E938" s="6"/>
      <c r="F938" s="6"/>
      <c r="G938" s="6"/>
      <c r="H938" s="6"/>
      <c r="I938" s="6"/>
    </row>
    <row r="939" spans="3:9" x14ac:dyDescent="0.15">
      <c r="C939" s="6"/>
      <c r="D939" s="6"/>
      <c r="E939" s="6"/>
      <c r="F939" s="6"/>
      <c r="G939" s="6"/>
      <c r="H939" s="6"/>
      <c r="I939" s="6"/>
    </row>
    <row r="940" spans="3:9" x14ac:dyDescent="0.15">
      <c r="C940" s="6"/>
      <c r="D940" s="6"/>
      <c r="E940" s="6"/>
      <c r="F940" s="6"/>
      <c r="G940" s="6"/>
      <c r="H940" s="6"/>
      <c r="I940" s="6"/>
    </row>
    <row r="941" spans="3:9" x14ac:dyDescent="0.15">
      <c r="C941" s="6"/>
      <c r="D941" s="6"/>
      <c r="E941" s="6"/>
      <c r="F941" s="6"/>
      <c r="G941" s="6"/>
      <c r="H941" s="6"/>
      <c r="I941" s="6"/>
    </row>
    <row r="942" spans="3:9" x14ac:dyDescent="0.15">
      <c r="C942" s="6"/>
      <c r="D942" s="6"/>
      <c r="E942" s="6"/>
      <c r="F942" s="6"/>
      <c r="G942" s="6"/>
      <c r="H942" s="6"/>
      <c r="I942" s="6"/>
    </row>
    <row r="943" spans="3:9" x14ac:dyDescent="0.15">
      <c r="C943" s="6"/>
      <c r="D943" s="6"/>
      <c r="E943" s="6"/>
      <c r="F943" s="6"/>
      <c r="G943" s="6"/>
      <c r="H943" s="6"/>
      <c r="I943" s="6"/>
    </row>
    <row r="944" spans="3:9" x14ac:dyDescent="0.15">
      <c r="C944" s="6"/>
      <c r="D944" s="6"/>
      <c r="E944" s="6"/>
      <c r="F944" s="6"/>
      <c r="G944" s="6"/>
      <c r="H944" s="6"/>
      <c r="I944" s="6"/>
    </row>
    <row r="945" spans="3:9" x14ac:dyDescent="0.15">
      <c r="C945" s="6"/>
      <c r="D945" s="6"/>
      <c r="E945" s="6"/>
      <c r="F945" s="6"/>
      <c r="G945" s="6"/>
      <c r="H945" s="6"/>
      <c r="I945" s="6"/>
    </row>
    <row r="946" spans="3:9" x14ac:dyDescent="0.15">
      <c r="C946" s="6"/>
      <c r="D946" s="6"/>
      <c r="E946" s="6"/>
      <c r="F946" s="6"/>
      <c r="G946" s="6"/>
      <c r="H946" s="6"/>
      <c r="I946" s="6"/>
    </row>
    <row r="947" spans="3:9" x14ac:dyDescent="0.15">
      <c r="C947" s="6"/>
      <c r="D947" s="6"/>
      <c r="E947" s="6"/>
      <c r="F947" s="6"/>
      <c r="G947" s="6"/>
      <c r="H947" s="6"/>
      <c r="I947" s="6"/>
    </row>
    <row r="948" spans="3:9" x14ac:dyDescent="0.15">
      <c r="C948" s="6"/>
      <c r="D948" s="6"/>
      <c r="E948" s="6"/>
      <c r="F948" s="6"/>
      <c r="G948" s="6"/>
      <c r="H948" s="6"/>
      <c r="I948" s="6"/>
    </row>
    <row r="949" spans="3:9" x14ac:dyDescent="0.15">
      <c r="C949" s="6"/>
      <c r="D949" s="6"/>
      <c r="E949" s="6"/>
      <c r="F949" s="6"/>
      <c r="G949" s="6"/>
      <c r="H949" s="6"/>
      <c r="I949" s="6"/>
    </row>
    <row r="950" spans="3:9" x14ac:dyDescent="0.15">
      <c r="C950" s="6"/>
      <c r="D950" s="6"/>
      <c r="E950" s="6"/>
      <c r="F950" s="6"/>
      <c r="G950" s="6"/>
      <c r="H950" s="6"/>
      <c r="I950" s="6"/>
    </row>
    <row r="951" spans="3:9" x14ac:dyDescent="0.15">
      <c r="C951" s="6"/>
      <c r="D951" s="6"/>
      <c r="E951" s="6"/>
      <c r="F951" s="6"/>
      <c r="G951" s="6"/>
      <c r="H951" s="6"/>
      <c r="I951" s="6"/>
    </row>
    <row r="952" spans="3:9" x14ac:dyDescent="0.15">
      <c r="C952" s="6"/>
      <c r="D952" s="6"/>
      <c r="E952" s="6"/>
      <c r="F952" s="6"/>
      <c r="G952" s="6"/>
      <c r="H952" s="6"/>
      <c r="I952" s="6"/>
    </row>
    <row r="953" spans="3:9" x14ac:dyDescent="0.15">
      <c r="C953" s="6"/>
      <c r="D953" s="6"/>
      <c r="E953" s="6"/>
      <c r="F953" s="6"/>
      <c r="G953" s="6"/>
      <c r="H953" s="6"/>
      <c r="I953" s="6"/>
    </row>
    <row r="954" spans="3:9" x14ac:dyDescent="0.15">
      <c r="C954" s="6"/>
      <c r="D954" s="6"/>
      <c r="E954" s="6"/>
      <c r="F954" s="6"/>
      <c r="G954" s="6"/>
      <c r="H954" s="6"/>
      <c r="I954" s="6"/>
    </row>
    <row r="955" spans="3:9" x14ac:dyDescent="0.15">
      <c r="C955" s="6"/>
      <c r="D955" s="6"/>
      <c r="E955" s="6"/>
      <c r="F955" s="6"/>
      <c r="G955" s="6"/>
      <c r="H955" s="6"/>
      <c r="I955" s="6"/>
    </row>
    <row r="956" spans="3:9" x14ac:dyDescent="0.15">
      <c r="C956" s="6"/>
      <c r="D956" s="6"/>
      <c r="E956" s="6"/>
      <c r="F956" s="6"/>
      <c r="G956" s="6"/>
      <c r="H956" s="6"/>
      <c r="I956" s="6"/>
    </row>
  </sheetData>
  <mergeCells count="2">
    <mergeCell ref="A1:I1"/>
    <mergeCell ref="C2:I2"/>
  </mergeCells>
  <pageMargins left="0.7" right="0.7" top="0.75" bottom="0.75" header="0.3" footer="0.3"/>
  <pageSetup orientation="portrait" horizontalDpi="0" verticalDpi="0"/>
  <tableParts count="1">
    <tablePart r:id="rId1"/>
  </tableParts>
  <extLst>
    <ext xmlns:x14="http://schemas.microsoft.com/office/spreadsheetml/2009/9/main" uri="{78C0D931-6437-407d-A8EE-F0AAD7539E65}">
      <x14:conditionalFormattings>
        <x14:conditionalFormatting xmlns:xm="http://schemas.microsoft.com/office/excel/2006/main">
          <x14:cfRule type="expression" priority="536" id="{19ABEFC5-146D-374E-AC3F-44E66348F88E}">
            <xm:f>#REF!=Lists!$U$5</xm:f>
            <x14:dxf>
              <font>
                <color rgb="FF9C0006"/>
              </font>
              <fill>
                <patternFill>
                  <bgColor rgb="FFFFC7CE"/>
                </patternFill>
              </fill>
            </x14:dxf>
          </x14:cfRule>
          <x14:cfRule type="expression" priority="537" stopIfTrue="1" id="{C0E49A84-BEE4-954D-AFEB-A663910291A9}">
            <xm:f>#REF!=Lists!$U$3</xm:f>
            <x14:dxf>
              <font>
                <color rgb="FF006100"/>
              </font>
              <fill>
                <patternFill>
                  <bgColor rgb="FFC6EFCE"/>
                </patternFill>
              </fill>
            </x14:dxf>
          </x14:cfRule>
          <x14:cfRule type="expression" priority="538" id="{8E86CE55-A094-3E4B-BB95-546DB2DAC679}">
            <xm:f>#REF!=Lists!$U$4</xm:f>
            <x14:dxf>
              <font>
                <color rgb="FF9C5700"/>
              </font>
              <fill>
                <patternFill>
                  <bgColor rgb="FFFFEB9C"/>
                </patternFill>
              </fill>
            </x14:dxf>
          </x14:cfRule>
          <xm:sqref>A4:C24</xm:sqref>
        </x14:conditionalFormatting>
        <x14:conditionalFormatting xmlns:xm="http://schemas.microsoft.com/office/excel/2006/main">
          <x14:cfRule type="expression" priority="539" stopIfTrue="1" id="{C0E49A84-BEE4-954D-AFEB-A663910291A9}">
            <xm:f>#REF!=Lists!$U$3</xm:f>
            <x14:dxf>
              <font>
                <color rgb="FF006100"/>
              </font>
              <fill>
                <patternFill>
                  <bgColor rgb="FFC6EFCE"/>
                </patternFill>
              </fill>
            </x14:dxf>
          </x14:cfRule>
          <x14:cfRule type="expression" priority="540" id="{8E86CE55-A094-3E4B-BB95-546DB2DAC679}">
            <xm:f>#REF!=Lists!$U$4</xm:f>
            <x14:dxf>
              <font>
                <color rgb="FF9C5700"/>
              </font>
              <fill>
                <patternFill>
                  <bgColor rgb="FFFFEB9C"/>
                </patternFill>
              </fill>
            </x14:dxf>
          </x14:cfRule>
          <x14:cfRule type="expression" priority="541" id="{19ABEFC5-146D-374E-AC3F-44E66348F88E}">
            <xm:f>#REF!=Lists!$U$5</xm:f>
            <x14:dxf>
              <font>
                <color rgb="FF9C0006"/>
              </font>
              <fill>
                <patternFill>
                  <bgColor rgb="FFFFC7CE"/>
                </patternFill>
              </fill>
            </x14:dxf>
          </x14:cfRule>
          <xm:sqref>B4:B24 D4:H24</xm:sqref>
        </x14:conditionalFormatting>
        <x14:conditionalFormatting xmlns:xm="http://schemas.microsoft.com/office/excel/2006/main">
          <x14:cfRule type="expression" priority="473" stopIfTrue="1" id="{F86FD24B-B253-1D4C-98F2-BC3C33E175A2}">
            <xm:f>#REF!=Lists!$U$5</xm:f>
            <x14:dxf>
              <font>
                <color rgb="FF9C0006"/>
              </font>
              <fill>
                <patternFill>
                  <bgColor rgb="FFFFC7CE"/>
                </patternFill>
              </fill>
            </x14:dxf>
          </x14:cfRule>
          <x14:cfRule type="expression" priority="474" id="{61D1DD6B-743C-0C45-AA88-43EDCD1FE03A}">
            <xm:f>#REF!=Lists!$U$3</xm:f>
            <x14:dxf>
              <font>
                <color rgb="FF006100"/>
              </font>
              <fill>
                <patternFill>
                  <bgColor rgb="FFC6EFCE"/>
                </patternFill>
              </fill>
            </x14:dxf>
          </x14:cfRule>
          <x14:cfRule type="expression" priority="475" id="{9B819F3A-6B97-B840-87AD-1306DEA1ECED}">
            <xm:f>#REF!=Lists!$U$4</xm:f>
            <x14:dxf>
              <font>
                <color rgb="FF9C5700"/>
              </font>
              <fill>
                <patternFill>
                  <bgColor rgb="FFFFEB9C"/>
                </patternFill>
              </fill>
            </x14:dxf>
          </x14:cfRule>
          <xm:sqref>D3:I3 A3:C24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20E0D62-01ED-5A43-B20C-55EA8CCA5DBE}">
          <x14:formula1>
            <xm:f>Lists!$J$3:$J$9</xm:f>
          </x14:formula1>
          <xm:sqref>B4:B24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C915B-E35A-294F-ACDA-BFADB2DE47AA}">
  <sheetPr>
    <tabColor theme="9" tint="-0.499984740745262"/>
  </sheetPr>
  <dimension ref="A1:E24"/>
  <sheetViews>
    <sheetView workbookViewId="0">
      <selection sqref="A1:D1"/>
    </sheetView>
  </sheetViews>
  <sheetFormatPr baseColWidth="10" defaultRowHeight="15" x14ac:dyDescent="0.2"/>
  <cols>
    <col min="1" max="1" width="3.5" style="157" bestFit="1" customWidth="1"/>
    <col min="2" max="2" width="35.5" style="145" customWidth="1"/>
    <col min="3" max="3" width="52.5" style="145" customWidth="1"/>
    <col min="4" max="4" width="52.5" style="385" customWidth="1"/>
    <col min="5" max="25" width="19.6640625" style="119" customWidth="1"/>
    <col min="26" max="16384" width="10.83203125" style="119"/>
  </cols>
  <sheetData>
    <row r="1" spans="1:5" ht="17" x14ac:dyDescent="0.25">
      <c r="A1" s="448" t="s">
        <v>477</v>
      </c>
      <c r="B1" s="448"/>
      <c r="C1" s="448"/>
      <c r="D1" s="448"/>
    </row>
    <row r="2" spans="1:5" ht="16" customHeight="1" x14ac:dyDescent="0.2">
      <c r="A2" s="453" t="s">
        <v>2232</v>
      </c>
      <c r="B2" s="125" t="s">
        <v>1397</v>
      </c>
      <c r="C2" s="456" t="s">
        <v>106</v>
      </c>
      <c r="D2" s="457"/>
      <c r="E2" s="121"/>
    </row>
    <row r="3" spans="1:5" ht="42" customHeight="1" x14ac:dyDescent="0.2">
      <c r="A3" s="453"/>
      <c r="B3" s="126" t="s">
        <v>27</v>
      </c>
      <c r="C3" s="459" t="s">
        <v>1142</v>
      </c>
      <c r="D3" s="459"/>
      <c r="E3" s="121"/>
    </row>
    <row r="4" spans="1:5" ht="35" customHeight="1" x14ac:dyDescent="0.2">
      <c r="A4" s="453"/>
      <c r="B4" s="127" t="s">
        <v>3</v>
      </c>
      <c r="C4" s="458" t="s">
        <v>1143</v>
      </c>
      <c r="D4" s="458"/>
      <c r="E4" s="121"/>
    </row>
    <row r="5" spans="1:5" ht="35" customHeight="1" x14ac:dyDescent="0.2">
      <c r="A5" s="453"/>
      <c r="B5" s="127" t="s">
        <v>28</v>
      </c>
      <c r="C5" s="458" t="s">
        <v>1144</v>
      </c>
      <c r="D5" s="458"/>
      <c r="E5" s="121"/>
    </row>
    <row r="6" spans="1:5" ht="35" customHeight="1" x14ac:dyDescent="0.2">
      <c r="A6" s="453"/>
      <c r="B6" s="127" t="s">
        <v>29</v>
      </c>
      <c r="C6" s="458" t="s">
        <v>1145</v>
      </c>
      <c r="D6" s="458"/>
      <c r="E6" s="121"/>
    </row>
    <row r="7" spans="1:5" ht="35" customHeight="1" x14ac:dyDescent="0.2">
      <c r="A7" s="453"/>
      <c r="B7" s="127" t="s">
        <v>30</v>
      </c>
      <c r="C7" s="458" t="s">
        <v>1146</v>
      </c>
      <c r="D7" s="458"/>
      <c r="E7" s="121"/>
    </row>
    <row r="8" spans="1:5" ht="42" customHeight="1" x14ac:dyDescent="0.2">
      <c r="A8" s="453"/>
      <c r="B8" s="127" t="s">
        <v>31</v>
      </c>
      <c r="C8" s="458" t="s">
        <v>1147</v>
      </c>
      <c r="D8" s="458"/>
      <c r="E8" s="121"/>
    </row>
    <row r="9" spans="1:5" ht="35" customHeight="1" x14ac:dyDescent="0.2">
      <c r="A9" s="453"/>
      <c r="B9" s="129" t="s">
        <v>32</v>
      </c>
      <c r="C9" s="454" t="s">
        <v>1148</v>
      </c>
      <c r="D9" s="454"/>
      <c r="E9" s="121"/>
    </row>
    <row r="10" spans="1:5" ht="147" customHeight="1" x14ac:dyDescent="0.2">
      <c r="A10" s="453"/>
      <c r="B10" s="130" t="s">
        <v>483</v>
      </c>
      <c r="C10" s="455" t="s">
        <v>1149</v>
      </c>
      <c r="D10" s="455"/>
    </row>
    <row r="11" spans="1:5" ht="16" x14ac:dyDescent="0.2">
      <c r="A11" s="453"/>
      <c r="B11" s="131" t="s">
        <v>481</v>
      </c>
      <c r="C11" s="381" t="s">
        <v>432</v>
      </c>
      <c r="D11" s="381" t="s">
        <v>431</v>
      </c>
    </row>
    <row r="12" spans="1:5" ht="160" x14ac:dyDescent="0.2">
      <c r="A12" s="453"/>
      <c r="B12" s="132"/>
      <c r="C12" s="133" t="s">
        <v>1151</v>
      </c>
      <c r="D12" s="134" t="s">
        <v>1150</v>
      </c>
    </row>
    <row r="19" spans="3:3" x14ac:dyDescent="0.2">
      <c r="C19" s="78"/>
    </row>
    <row r="20" spans="3:3" x14ac:dyDescent="0.2">
      <c r="C20" s="78"/>
    </row>
    <row r="21" spans="3:3" x14ac:dyDescent="0.2">
      <c r="C21" s="78"/>
    </row>
    <row r="22" spans="3:3" x14ac:dyDescent="0.2">
      <c r="C22" s="78"/>
    </row>
    <row r="23" spans="3:3" x14ac:dyDescent="0.2">
      <c r="C23" s="78"/>
    </row>
    <row r="24" spans="3:3" x14ac:dyDescent="0.2">
      <c r="C24" s="78"/>
    </row>
  </sheetData>
  <mergeCells count="11">
    <mergeCell ref="A1:D1"/>
    <mergeCell ref="A2:A12"/>
    <mergeCell ref="C9:D9"/>
    <mergeCell ref="C10:D10"/>
    <mergeCell ref="C2:D2"/>
    <mergeCell ref="C5:D5"/>
    <mergeCell ref="C6:D6"/>
    <mergeCell ref="C7:D7"/>
    <mergeCell ref="C8:D8"/>
    <mergeCell ref="C4:D4"/>
    <mergeCell ref="C3:D3"/>
  </mergeCells>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E3C21-EB73-164D-B145-0D48C26B2744}">
  <sheetPr>
    <tabColor theme="9" tint="-0.499984740745262"/>
  </sheetPr>
  <dimension ref="A1:Q1019"/>
  <sheetViews>
    <sheetView zoomScale="80" zoomScaleNormal="80" workbookViewId="0">
      <selection activeCell="F4" sqref="F4"/>
    </sheetView>
  </sheetViews>
  <sheetFormatPr baseColWidth="10" defaultRowHeight="15" x14ac:dyDescent="0.2"/>
  <cols>
    <col min="1" max="1" width="9.83203125" style="135" customWidth="1"/>
    <col min="2" max="2" width="6.6640625" style="135" customWidth="1"/>
    <col min="3" max="3" width="27" style="135" bestFit="1" customWidth="1"/>
    <col min="4" max="4" width="27" style="135" customWidth="1"/>
    <col min="5" max="5" width="8.33203125" style="135" customWidth="1"/>
    <col min="6" max="6" width="32.6640625" style="135" customWidth="1"/>
    <col min="7" max="8" width="46.1640625" style="135" customWidth="1"/>
    <col min="9" max="10" width="46.1640625" style="144" customWidth="1"/>
    <col min="11" max="11" width="46.1640625" style="135" customWidth="1"/>
    <col min="12" max="14" width="13.5" style="135" customWidth="1"/>
    <col min="15" max="15" width="20.5" style="135" customWidth="1"/>
    <col min="16" max="16" width="14" style="135" customWidth="1"/>
    <col min="17" max="17" width="46.33203125" style="135" customWidth="1"/>
    <col min="18" max="18" width="14.1640625" style="84" customWidth="1"/>
    <col min="19" max="24" width="21.33203125" style="84" customWidth="1"/>
    <col min="25" max="16384" width="10.83203125" style="84"/>
  </cols>
  <sheetData>
    <row r="1" spans="1:17" ht="15" customHeight="1" x14ac:dyDescent="0.2">
      <c r="A1" s="460" t="s">
        <v>482</v>
      </c>
      <c r="B1" s="460"/>
      <c r="C1" s="460"/>
      <c r="D1" s="460"/>
      <c r="E1" s="460"/>
      <c r="F1" s="460"/>
      <c r="G1" s="460"/>
      <c r="H1" s="460"/>
      <c r="I1" s="460"/>
      <c r="J1" s="460"/>
      <c r="K1" s="460"/>
      <c r="L1" s="460"/>
      <c r="M1" s="460"/>
      <c r="N1" s="460"/>
      <c r="O1" s="460"/>
      <c r="P1" s="460"/>
      <c r="Q1" s="460"/>
    </row>
    <row r="2" spans="1:17" ht="15" customHeight="1" x14ac:dyDescent="0.2">
      <c r="A2" s="464" t="s">
        <v>2222</v>
      </c>
      <c r="B2" s="464"/>
      <c r="C2" s="464"/>
      <c r="D2" s="465"/>
      <c r="E2" s="463" t="s">
        <v>2224</v>
      </c>
      <c r="F2" s="464"/>
      <c r="G2" s="464"/>
      <c r="H2" s="464"/>
      <c r="I2" s="464"/>
      <c r="J2" s="464"/>
      <c r="K2" s="464"/>
      <c r="L2" s="464"/>
      <c r="M2" s="464"/>
      <c r="N2" s="465"/>
      <c r="O2" s="461" t="s">
        <v>2223</v>
      </c>
      <c r="P2" s="462"/>
      <c r="Q2" s="226"/>
    </row>
    <row r="3" spans="1:17" s="91" customFormat="1" ht="16" x14ac:dyDescent="0.2">
      <c r="A3" s="136" t="s">
        <v>40</v>
      </c>
      <c r="B3" s="212" t="s">
        <v>452</v>
      </c>
      <c r="C3" s="137" t="s">
        <v>194</v>
      </c>
      <c r="D3" s="137" t="s">
        <v>195</v>
      </c>
      <c r="E3" s="138" t="s">
        <v>453</v>
      </c>
      <c r="F3" s="138" t="s">
        <v>200</v>
      </c>
      <c r="G3" s="139" t="s">
        <v>611</v>
      </c>
      <c r="H3" s="139" t="s">
        <v>442</v>
      </c>
      <c r="I3" s="139" t="s">
        <v>486</v>
      </c>
      <c r="J3" s="139" t="s">
        <v>201</v>
      </c>
      <c r="K3" s="139" t="s">
        <v>487</v>
      </c>
      <c r="L3" s="139" t="s">
        <v>608</v>
      </c>
      <c r="M3" s="139" t="s">
        <v>451</v>
      </c>
      <c r="N3" s="139" t="s">
        <v>207</v>
      </c>
      <c r="O3" s="140" t="s">
        <v>443</v>
      </c>
      <c r="P3" s="140" t="s">
        <v>212</v>
      </c>
      <c r="Q3" s="225" t="s">
        <v>1076</v>
      </c>
    </row>
    <row r="4" spans="1:17" s="135" customFormat="1" ht="64" customHeight="1" x14ac:dyDescent="0.2">
      <c r="A4" s="571">
        <v>1</v>
      </c>
      <c r="B4" s="571">
        <v>1</v>
      </c>
      <c r="C4" s="142" t="str">
        <f>LOOKUP(Drivers[[#This Row],['#]],Forces_List['#],Forces_List[Forces])</f>
        <v>Political (Policy)</v>
      </c>
      <c r="D4" s="142" t="str" cm="1">
        <f t="array" ref="D4">INDEX(Forces[Variable Short Name],MATCH(1,(Forces['#]=A4)*(Forces[Var. '#]=B4),0))</f>
        <v>U.S. Defense Budget Policy</v>
      </c>
      <c r="E4" s="135">
        <v>1</v>
      </c>
      <c r="F4" s="135" t="s">
        <v>641</v>
      </c>
      <c r="G4" s="142" t="s">
        <v>642</v>
      </c>
      <c r="H4" s="142" t="s">
        <v>846</v>
      </c>
      <c r="I4" s="142" t="s">
        <v>847</v>
      </c>
      <c r="J4" s="142" t="s">
        <v>848</v>
      </c>
      <c r="K4" s="142" t="s">
        <v>643</v>
      </c>
      <c r="L4" s="142" t="s">
        <v>39</v>
      </c>
      <c r="M4" s="142" t="s">
        <v>0</v>
      </c>
      <c r="N4" s="142" t="s">
        <v>34</v>
      </c>
      <c r="O4" s="142" t="str" cm="1">
        <f t="array" ref="O4">_xlfn.XLOOKUP(Drivers[[#This Row],[SE Certainty]],Driver_Classifcation2[[#Headers],[Possible]:[Pre-Determined]],_xlfn.XLOOKUP(Drivers[[#This Row],[OA Impact]],Driver_Classifcation2[Matrix],Driver_Classifcation2[[Possible]:[Pre-Determined]]))</f>
        <v>Critical Uncertainty</v>
      </c>
      <c r="P4" s="275" t="str">
        <f>_xlfn.XLOOKUP(Drivers[[#This Row],[Driver Classification]],Driver_Classification[Driver Classifcation],Driver_Classification[Key Driver])</f>
        <v>Yes</v>
      </c>
      <c r="Q4" s="275" t="str">
        <f>Drivers[[#This Row],[Driver Short Name]]&amp;" ("&amp;Drivers[[#This Row],[Maco-Environmental Forces]]&amp;"): "&amp;Drivers[[#This Row],[Driver Description]]&amp;" ("&amp;Drivers[[#This Row],[SE Certainty]]&amp;" x "&amp;Drivers[[#This Row],[OA Impact]]&amp;" x "&amp;Drivers[[#This Row],[Nature]]&amp;" = "&amp;Drivers[[#This Row],[Driver Classification]]&amp;")"</f>
        <v>Fiscal Constraint and Deficit Reduction (Political (Policy)): Congressional pressure to reduce federal spending and address national debt through defense budget cuts. (Probable x Significant x Negative = Critical Uncertainty)</v>
      </c>
    </row>
    <row r="5" spans="1:17" s="135" customFormat="1" ht="64" customHeight="1" x14ac:dyDescent="0.2">
      <c r="A5" s="571">
        <v>1</v>
      </c>
      <c r="B5" s="571">
        <v>2</v>
      </c>
      <c r="C5" s="142" t="str">
        <f>LOOKUP(Drivers[[#This Row],['#]],Forces_List['#],Forces_List[Forces])</f>
        <v>Political (Policy)</v>
      </c>
      <c r="D5" s="142" t="str" cm="1">
        <f t="array" ref="D5">INDEX(Forces[Variable Short Name],MATCH(1,(Forces['#]=A5)*(Forces[Var. '#]=B5),0))</f>
        <v>U.S. Export Control Regulations</v>
      </c>
      <c r="E5" s="135">
        <v>2</v>
      </c>
      <c r="F5" s="135" t="s">
        <v>650</v>
      </c>
      <c r="G5" s="142" t="s">
        <v>651</v>
      </c>
      <c r="H5" s="142" t="s">
        <v>652</v>
      </c>
      <c r="I5" s="142" t="s">
        <v>653</v>
      </c>
      <c r="J5" s="142" t="s">
        <v>654</v>
      </c>
      <c r="K5" s="142" t="s">
        <v>655</v>
      </c>
      <c r="L5" s="142" t="s">
        <v>39</v>
      </c>
      <c r="M5" s="142" t="s">
        <v>0</v>
      </c>
      <c r="N5" s="142" t="s">
        <v>35</v>
      </c>
      <c r="O5" s="142" t="str" cm="1">
        <f t="array" ref="O5">_xlfn.XLOOKUP(Drivers[[#This Row],[SE Certainty]],Driver_Classifcation2[[#Headers],[Possible]:[Pre-Determined]],_xlfn.XLOOKUP(Drivers[[#This Row],[OA Impact]],Driver_Classifcation2[Matrix],Driver_Classifcation2[[Possible]:[Pre-Determined]]))</f>
        <v>Critical Uncertainty</v>
      </c>
      <c r="P5" s="275" t="str">
        <f>_xlfn.XLOOKUP(Drivers[[#This Row],[Driver Classification]],Driver_Classification[Driver Classifcation],Driver_Classification[Key Driver])</f>
        <v>Yes</v>
      </c>
      <c r="Q5" s="275" t="str">
        <f>Drivers[[#This Row],[Driver Short Name]]&amp;" ("&amp;Drivers[[#This Row],[Maco-Environmental Forces]]&amp;"): "&amp;Drivers[[#This Row],[Driver Description]]&amp;" ("&amp;Drivers[[#This Row],[SE Certainty]]&amp;" x "&amp;Drivers[[#This Row],[OA Impact]]&amp;" x "&amp;Drivers[[#This Row],[Nature]]&amp;" = "&amp;Drivers[[#This Row],[Driver Classification]]&amp;")"</f>
        <v>Geopolitical Competition and Security Concerns (Political (Policy)): Rising tensions with China increase U.S. scrutiny of technology transfers and foreign military partnerships. (Probable x Significant x Neutral = Critical Uncertainty)</v>
      </c>
    </row>
    <row r="6" spans="1:17" s="135" customFormat="1" ht="64" customHeight="1" x14ac:dyDescent="0.2">
      <c r="A6" s="571">
        <v>1</v>
      </c>
      <c r="B6" s="571">
        <v>3</v>
      </c>
      <c r="C6" s="142" t="str">
        <f>LOOKUP(Drivers[[#This Row],['#]],Forces_List['#],Forces_List[Forces])</f>
        <v>Political (Policy)</v>
      </c>
      <c r="D6" s="142" t="str" cm="1">
        <f t="array" ref="D6">INDEX(Forces[Variable Short Name],MATCH(1,(Forces['#]=A6)*(Forces[Var. '#]=B6),0))</f>
        <v>Southeast Asian Defense Procurement Policy</v>
      </c>
      <c r="E6" s="135">
        <v>3</v>
      </c>
      <c r="F6" s="135" t="s">
        <v>662</v>
      </c>
      <c r="G6" s="142" t="s">
        <v>663</v>
      </c>
      <c r="H6" s="142" t="s">
        <v>664</v>
      </c>
      <c r="I6" s="142" t="s">
        <v>665</v>
      </c>
      <c r="J6" s="142" t="s">
        <v>666</v>
      </c>
      <c r="K6" s="142" t="s">
        <v>667</v>
      </c>
      <c r="L6" s="142" t="s">
        <v>39</v>
      </c>
      <c r="M6" s="142" t="s">
        <v>0</v>
      </c>
      <c r="N6" s="142" t="s">
        <v>33</v>
      </c>
      <c r="O6" s="142" t="str" cm="1">
        <f t="array" ref="O6">_xlfn.XLOOKUP(Drivers[[#This Row],[SE Certainty]],Driver_Classifcation2[[#Headers],[Possible]:[Pre-Determined]],_xlfn.XLOOKUP(Drivers[[#This Row],[OA Impact]],Driver_Classifcation2[Matrix],Driver_Classifcation2[[Possible]:[Pre-Determined]]))</f>
        <v>Critical Uncertainty</v>
      </c>
      <c r="P6" s="275" t="str">
        <f>_xlfn.XLOOKUP(Drivers[[#This Row],[Driver Classification]],Driver_Classification[Driver Classifcation],Driver_Classification[Key Driver])</f>
        <v>Yes</v>
      </c>
      <c r="Q6" s="275" t="str">
        <f>Drivers[[#This Row],[Driver Short Name]]&amp;" ("&amp;Drivers[[#This Row],[Maco-Environmental Forces]]&amp;"): "&amp;Drivers[[#This Row],[Driver Description]]&amp;" ("&amp;Drivers[[#This Row],[SE Certainty]]&amp;" x "&amp;Drivers[[#This Row],[OA Impact]]&amp;" x "&amp;Drivers[[#This Row],[Nature]]&amp;" = "&amp;Drivers[[#This Row],[Driver Classification]]&amp;")"</f>
        <v>Regional Security Tensions and Modernization (Political (Policy)): Territorial disputes and perceived threats drive Southeast Asian nations to modernize armed forces rapidly. (Probable x Significant x Positive = Critical Uncertainty)</v>
      </c>
    </row>
    <row r="7" spans="1:17" s="135" customFormat="1" ht="64" customHeight="1" x14ac:dyDescent="0.2">
      <c r="A7" s="571">
        <v>2</v>
      </c>
      <c r="B7" s="571">
        <v>4</v>
      </c>
      <c r="C7" s="142" t="str">
        <f>LOOKUP(Drivers[[#This Row],['#]],Forces_List['#],Forces_List[Forces])</f>
        <v>Economic</v>
      </c>
      <c r="D7" s="142" t="str" cm="1">
        <f t="array" ref="D7">INDEX(Forces[Variable Short Name],MATCH(1,(Forces['#]=A7)*(Forces[Var. '#]=B7),0))</f>
        <v>Southeast Asian Economic Growth</v>
      </c>
      <c r="E7" s="135">
        <v>4</v>
      </c>
      <c r="F7" s="135" t="s">
        <v>674</v>
      </c>
      <c r="G7" s="142" t="s">
        <v>675</v>
      </c>
      <c r="H7" s="142" t="s">
        <v>676</v>
      </c>
      <c r="I7" s="142" t="s">
        <v>677</v>
      </c>
      <c r="J7" s="142" t="s">
        <v>678</v>
      </c>
      <c r="K7" s="142" t="s">
        <v>679</v>
      </c>
      <c r="L7" s="142" t="s">
        <v>39</v>
      </c>
      <c r="M7" s="142" t="s">
        <v>37</v>
      </c>
      <c r="N7" s="142" t="s">
        <v>33</v>
      </c>
      <c r="O7" s="142" t="str" cm="1">
        <f t="array" ref="O7">_xlfn.XLOOKUP(Drivers[[#This Row],[SE Certainty]],Driver_Classifcation2[[#Headers],[Possible]:[Pre-Determined]],_xlfn.XLOOKUP(Drivers[[#This Row],[OA Impact]],Driver_Classifcation2[Matrix],Driver_Classifcation2[[Possible]:[Pre-Determined]]))</f>
        <v>Critical Uncertainty</v>
      </c>
      <c r="P7" s="275" t="str">
        <f>_xlfn.XLOOKUP(Drivers[[#This Row],[Driver Classification]],Driver_Classification[Driver Classifcation],Driver_Classification[Key Driver])</f>
        <v>Yes</v>
      </c>
      <c r="Q7" s="275" t="str">
        <f>Drivers[[#This Row],[Driver Short Name]]&amp;" ("&amp;Drivers[[#This Row],[Maco-Environmental Forces]]&amp;"): "&amp;Drivers[[#This Row],[Driver Description]]&amp;" ("&amp;Drivers[[#This Row],[SE Certainty]]&amp;" x "&amp;Drivers[[#This Row],[OA Impact]]&amp;" x "&amp;Drivers[[#This Row],[Nature]]&amp;" = "&amp;Drivers[[#This Row],[Driver Classification]]&amp;")"</f>
        <v>Regional Economic Development and Industrialization (Economic): Continued infrastructure investment, manufacturing growth, and trade expansion fuel economic expansion across Southeast Asia. (Probable x Moderate x Positive = Critical Uncertainty)</v>
      </c>
    </row>
    <row r="8" spans="1:17" s="135" customFormat="1" ht="64" customHeight="1" x14ac:dyDescent="0.2">
      <c r="A8" s="571">
        <v>2</v>
      </c>
      <c r="B8" s="571">
        <v>5</v>
      </c>
      <c r="C8" s="142" t="str">
        <f>LOOKUP(Drivers[[#This Row],['#]],Forces_List['#],Forces_List[Forces])</f>
        <v>Economic</v>
      </c>
      <c r="D8" s="142" t="str" cm="1">
        <f t="array" ref="D8">INDEX(Forces[Variable Short Name],MATCH(1,(Forces['#]=A8)*(Forces[Var. '#]=B8),0))</f>
        <v>Raw Material and Component Costs</v>
      </c>
      <c r="E8" s="135">
        <v>5</v>
      </c>
      <c r="F8" s="135" t="s">
        <v>686</v>
      </c>
      <c r="G8" s="142" t="s">
        <v>687</v>
      </c>
      <c r="H8" s="142" t="s">
        <v>688</v>
      </c>
      <c r="I8" s="142" t="s">
        <v>689</v>
      </c>
      <c r="J8" s="142" t="s">
        <v>690</v>
      </c>
      <c r="K8" s="142" t="s">
        <v>691</v>
      </c>
      <c r="L8" s="142" t="s">
        <v>41</v>
      </c>
      <c r="M8" s="142" t="s">
        <v>0</v>
      </c>
      <c r="N8" s="142" t="s">
        <v>34</v>
      </c>
      <c r="O8" s="142" t="str" cm="1">
        <f t="array" ref="O8">_xlfn.XLOOKUP(Drivers[[#This Row],[SE Certainty]],Driver_Classifcation2[[#Headers],[Possible]:[Pre-Determined]],_xlfn.XLOOKUP(Drivers[[#This Row],[OA Impact]],Driver_Classifcation2[Matrix],Driver_Classifcation2[[Possible]:[Pre-Determined]]))</f>
        <v>Exogenous Contingency</v>
      </c>
      <c r="P8" s="275" t="str">
        <f>_xlfn.XLOOKUP(Drivers[[#This Row],[Driver Classification]],Driver_Classification[Driver Classifcation],Driver_Classification[Key Driver])</f>
        <v>No</v>
      </c>
      <c r="Q8" s="275" t="str">
        <f>Drivers[[#This Row],[Driver Short Name]]&amp;" ("&amp;Drivers[[#This Row],[Maco-Environmental Forces]]&amp;"): "&amp;Drivers[[#This Row],[Driver Description]]&amp;" ("&amp;Drivers[[#This Row],[SE Certainty]]&amp;" x "&amp;Drivers[[#This Row],[OA Impact]]&amp;" x "&amp;Drivers[[#This Row],[Nature]]&amp;" = "&amp;Drivers[[#This Row],[Driver Classification]]&amp;")"</f>
        <v>Global Supply Chain Volatility (Economic): Geopolitical tensions, trade policies, and post-pandemic disruptions create persistent material availability and pricing fluctuations. (Plausible x Significant x Negative = Exogenous Contingency)</v>
      </c>
    </row>
    <row r="9" spans="1:17" s="135" customFormat="1" ht="64" customHeight="1" x14ac:dyDescent="0.2">
      <c r="A9" s="571">
        <v>2</v>
      </c>
      <c r="B9" s="571">
        <v>6</v>
      </c>
      <c r="C9" s="142" t="str">
        <f>LOOKUP(Drivers[[#This Row],['#]],Forces_List['#],Forces_List[Forces])</f>
        <v>Economic</v>
      </c>
      <c r="D9" s="142" t="str" cm="1">
        <f t="array" ref="D9">INDEX(Forces[Variable Short Name],MATCH(1,(Forces['#]=A9)*(Forces[Var. '#]=B9),0))</f>
        <v>Currency Exchange Rate Fluctuations</v>
      </c>
      <c r="E9" s="135">
        <v>6</v>
      </c>
      <c r="F9" s="135" t="s">
        <v>698</v>
      </c>
      <c r="G9" s="142" t="s">
        <v>699</v>
      </c>
      <c r="H9" s="142" t="s">
        <v>700</v>
      </c>
      <c r="I9" s="142" t="s">
        <v>701</v>
      </c>
      <c r="J9" s="142" t="s">
        <v>702</v>
      </c>
      <c r="K9" s="142" t="s">
        <v>703</v>
      </c>
      <c r="L9" s="142" t="s">
        <v>42</v>
      </c>
      <c r="M9" s="142" t="s">
        <v>37</v>
      </c>
      <c r="N9" s="142" t="s">
        <v>34</v>
      </c>
      <c r="O9" s="142" t="str" cm="1">
        <f t="array" ref="O9">_xlfn.XLOOKUP(Drivers[[#This Row],[SE Certainty]],Driver_Classifcation2[[#Headers],[Possible]:[Pre-Determined]],_xlfn.XLOOKUP(Drivers[[#This Row],[OA Impact]],Driver_Classifcation2[Matrix],Driver_Classifcation2[[Possible]:[Pre-Determined]]))</f>
        <v>Secondary Factor</v>
      </c>
      <c r="P9" s="275" t="str">
        <f>_xlfn.XLOOKUP(Drivers[[#This Row],[Driver Classification]],Driver_Classification[Driver Classifcation],Driver_Classification[Key Driver])</f>
        <v>No</v>
      </c>
      <c r="Q9" s="275" t="str">
        <f>Drivers[[#This Row],[Driver Short Name]]&amp;" ("&amp;Drivers[[#This Row],[Maco-Environmental Forces]]&amp;"): "&amp;Drivers[[#This Row],[Driver Description]]&amp;" ("&amp;Drivers[[#This Row],[SE Certainty]]&amp;" x "&amp;Drivers[[#This Row],[OA Impact]]&amp;" x "&amp;Drivers[[#This Row],[Nature]]&amp;" = "&amp;Drivers[[#This Row],[Driver Classification]]&amp;")"</f>
        <v>U.S. Monetary Policy and Rates (Economic): Federal Reserve interest rate policies to manage inflation strengthen dollar relative to emerging market currencies. (Possible x Moderate x Negative = Secondary Factor)</v>
      </c>
    </row>
    <row r="10" spans="1:17" s="135" customFormat="1" ht="64" customHeight="1" x14ac:dyDescent="0.2">
      <c r="A10" s="571">
        <v>3</v>
      </c>
      <c r="B10" s="571">
        <v>7</v>
      </c>
      <c r="C10" s="142" t="str">
        <f>LOOKUP(Drivers[[#This Row],['#]],Forces_List['#],Forces_List[Forces])</f>
        <v>Social (Culture)</v>
      </c>
      <c r="D10" s="142" t="str" cm="1">
        <f t="array" ref="D10">INDEX(Forces[Variable Short Name],MATCH(1,(Forces['#]=A10)*(Forces[Var. '#]=B10),0))</f>
        <v>Advanced Manufacturing Workforce Availability</v>
      </c>
      <c r="E10" s="135">
        <v>7</v>
      </c>
      <c r="F10" s="135" t="s">
        <v>710</v>
      </c>
      <c r="G10" s="142" t="s">
        <v>711</v>
      </c>
      <c r="H10" s="142" t="s">
        <v>712</v>
      </c>
      <c r="I10" s="142" t="s">
        <v>713</v>
      </c>
      <c r="J10" s="142" t="s">
        <v>714</v>
      </c>
      <c r="K10" s="142" t="s">
        <v>715</v>
      </c>
      <c r="L10" s="142" t="s">
        <v>36</v>
      </c>
      <c r="M10" s="142" t="s">
        <v>37</v>
      </c>
      <c r="N10" s="142" t="s">
        <v>34</v>
      </c>
      <c r="O10" s="142" t="str" cm="1">
        <f t="array" ref="O10">_xlfn.XLOOKUP(Drivers[[#This Row],[SE Certainty]],Driver_Classifcation2[[#Headers],[Possible]:[Pre-Determined]],_xlfn.XLOOKUP(Drivers[[#This Row],[OA Impact]],Driver_Classifcation2[Matrix],Driver_Classifcation2[[Possible]:[Pre-Determined]]))</f>
        <v>Pre-Determined Factor</v>
      </c>
      <c r="P10" s="275" t="str">
        <f>_xlfn.XLOOKUP(Drivers[[#This Row],[Driver Classification]],Driver_Classification[Driver Classifcation],Driver_Classification[Key Driver])</f>
        <v>Yes</v>
      </c>
      <c r="Q10" s="275" t="str">
        <f>Drivers[[#This Row],[Driver Short Name]]&amp;" ("&amp;Drivers[[#This Row],[Maco-Environmental Forces]]&amp;"): "&amp;Drivers[[#This Row],[Driver Description]]&amp;" ("&amp;Drivers[[#This Row],[SE Certainty]]&amp;" x "&amp;Drivers[[#This Row],[OA Impact]]&amp;" x "&amp;Drivers[[#This Row],[Nature]]&amp;" = "&amp;Drivers[[#This Row],[Driver Classification]]&amp;")"</f>
        <v>Demographic Shifts and Education Gaps (Social (Culture)): Baby boomer retirements accelerate; technical education enrollment declining; manufacturing careers perceived as less desirable by younger generations. (Pre-Determined x Moderate x Negative = Pre-Determined Factor)</v>
      </c>
    </row>
    <row r="11" spans="1:17" s="135" customFormat="1" ht="64" customHeight="1" x14ac:dyDescent="0.2">
      <c r="A11" s="571">
        <v>3</v>
      </c>
      <c r="B11" s="571">
        <v>8</v>
      </c>
      <c r="C11" s="142" t="str">
        <f>LOOKUP(Drivers[[#This Row],['#]],Forces_List['#],Forces_List[Forces])</f>
        <v>Social (Culture)</v>
      </c>
      <c r="D11" s="142" t="str" cm="1">
        <f t="array" ref="D11">INDEX(Forces[Variable Short Name],MATCH(1,(Forces['#]=A11)*(Forces[Var. '#]=B11),0))</f>
        <v>Cultural Business Relationship Expectations</v>
      </c>
      <c r="E11" s="135">
        <v>8</v>
      </c>
      <c r="F11" s="135" t="s">
        <v>718</v>
      </c>
      <c r="G11" s="142" t="s">
        <v>719</v>
      </c>
      <c r="H11" s="142" t="s">
        <v>870</v>
      </c>
      <c r="I11" s="142" t="s">
        <v>871</v>
      </c>
      <c r="J11" s="142" t="s">
        <v>872</v>
      </c>
      <c r="K11" s="142" t="s">
        <v>873</v>
      </c>
      <c r="L11" s="142" t="s">
        <v>36</v>
      </c>
      <c r="M11" s="142" t="s">
        <v>38</v>
      </c>
      <c r="N11" s="142" t="s">
        <v>35</v>
      </c>
      <c r="O11" s="142" t="str" cm="1">
        <f t="array" ref="O11">_xlfn.XLOOKUP(Drivers[[#This Row],[SE Certainty]],Driver_Classifcation2[[#Headers],[Possible]:[Pre-Determined]],_xlfn.XLOOKUP(Drivers[[#This Row],[OA Impact]],Driver_Classifcation2[Matrix],Driver_Classifcation2[[Possible]:[Pre-Determined]]))</f>
        <v>Pre-Determined Factor</v>
      </c>
      <c r="P11" s="275" t="str">
        <f>_xlfn.XLOOKUP(Drivers[[#This Row],[Driver Classification]],Driver_Classification[Driver Classifcation],Driver_Classification[Key Driver])</f>
        <v>Yes</v>
      </c>
      <c r="Q11" s="275" t="str">
        <f>Drivers[[#This Row],[Driver Short Name]]&amp;" ("&amp;Drivers[[#This Row],[Maco-Environmental Forces]]&amp;"): "&amp;Drivers[[#This Row],[Driver Description]]&amp;" ("&amp;Drivers[[#This Row],[SE Certainty]]&amp;" x "&amp;Drivers[[#This Row],[OA Impact]]&amp;" x "&amp;Drivers[[#This Row],[Nature]]&amp;" = "&amp;Drivers[[#This Row],[Driver Classification]]&amp;")"</f>
        <v>Relationship-Based Commerce and Trust (Social (Culture)): Confucian and collectivist cultural values prioritize interpersonal trust and long-term mutual benefit over contract-focused transactions. (Pre-Determined x Low x Neutral = Pre-Determined Factor)</v>
      </c>
    </row>
    <row r="12" spans="1:17" s="135" customFormat="1" ht="64" customHeight="1" x14ac:dyDescent="0.2">
      <c r="A12" s="571">
        <v>3</v>
      </c>
      <c r="B12" s="571">
        <v>9</v>
      </c>
      <c r="C12" s="142" t="str">
        <f>LOOKUP(Drivers[[#This Row],['#]],Forces_List['#],Forces_List[Forces])</f>
        <v>Social (Culture)</v>
      </c>
      <c r="D12" s="142" t="str" cm="1">
        <f t="array" ref="D12">INDEX(Forces[Variable Short Name],MATCH(1,(Forces['#]=A12)*(Forces[Var. '#]=B12),0))</f>
        <v>Perception of American Defense Products</v>
      </c>
      <c r="E12" s="135">
        <v>9</v>
      </c>
      <c r="F12" s="135" t="s">
        <v>726</v>
      </c>
      <c r="G12" s="142" t="s">
        <v>727</v>
      </c>
      <c r="H12" s="142" t="s">
        <v>728</v>
      </c>
      <c r="I12" s="142" t="s">
        <v>729</v>
      </c>
      <c r="J12" s="142" t="s">
        <v>730</v>
      </c>
      <c r="K12" s="142" t="s">
        <v>731</v>
      </c>
      <c r="L12" s="142" t="s">
        <v>39</v>
      </c>
      <c r="M12" s="142" t="s">
        <v>0</v>
      </c>
      <c r="N12" s="142" t="s">
        <v>33</v>
      </c>
      <c r="O12" s="142" t="str" cm="1">
        <f t="array" ref="O12">_xlfn.XLOOKUP(Drivers[[#This Row],[SE Certainty]],Driver_Classifcation2[[#Headers],[Possible]:[Pre-Determined]],_xlfn.XLOOKUP(Drivers[[#This Row],[OA Impact]],Driver_Classifcation2[Matrix],Driver_Classifcation2[[Possible]:[Pre-Determined]]))</f>
        <v>Critical Uncertainty</v>
      </c>
      <c r="P12" s="275" t="str">
        <f>_xlfn.XLOOKUP(Drivers[[#This Row],[Driver Classification]],Driver_Classification[Driver Classifcation],Driver_Classification[Key Driver])</f>
        <v>Yes</v>
      </c>
      <c r="Q12" s="275" t="str">
        <f>Drivers[[#This Row],[Driver Short Name]]&amp;" ("&amp;Drivers[[#This Row],[Maco-Environmental Forces]]&amp;"): "&amp;Drivers[[#This Row],[Driver Description]]&amp;" ("&amp;Drivers[[#This Row],[SE Certainty]]&amp;" x "&amp;Drivers[[#This Row],[OA Impact]]&amp;" x "&amp;Drivers[[#This Row],[Nature]]&amp;" = "&amp;Drivers[[#This Row],[Driver Classification]]&amp;")"</f>
        <v>U.S. Security Partnership and Alliance Value (Social (Culture)): Regional nations view U.S. defense partnerships as deterrents to aggression and signals of security commitment. (Probable x Significant x Positive = Critical Uncertainty)</v>
      </c>
    </row>
    <row r="13" spans="1:17" s="135" customFormat="1" ht="64" customHeight="1" x14ac:dyDescent="0.2">
      <c r="A13" s="571">
        <v>4</v>
      </c>
      <c r="B13" s="571">
        <v>10</v>
      </c>
      <c r="C13" s="142" t="str">
        <f>LOOKUP(Drivers[[#This Row],['#]],Forces_List['#],Forces_List[Forces])</f>
        <v>Technological</v>
      </c>
      <c r="D13" s="142" t="str" cm="1">
        <f t="array" ref="D13">INDEX(Forces[Variable Short Name],MATCH(1,(Forces['#]=A13)*(Forces[Var. '#]=B13),0))</f>
        <v>Autonomous and Unmanned Vehicle Systems</v>
      </c>
      <c r="E13" s="135">
        <v>10</v>
      </c>
      <c r="F13" s="135" t="s">
        <v>734</v>
      </c>
      <c r="G13" s="142" t="s">
        <v>735</v>
      </c>
      <c r="H13" s="142" t="s">
        <v>853</v>
      </c>
      <c r="I13" s="142" t="s">
        <v>854</v>
      </c>
      <c r="J13" s="142" t="s">
        <v>855</v>
      </c>
      <c r="K13" s="142" t="s">
        <v>856</v>
      </c>
      <c r="L13" s="142" t="s">
        <v>39</v>
      </c>
      <c r="M13" s="142" t="s">
        <v>0</v>
      </c>
      <c r="N13" s="142" t="s">
        <v>35</v>
      </c>
      <c r="O13" s="142" t="str" cm="1">
        <f t="array" ref="O13">_xlfn.XLOOKUP(Drivers[[#This Row],[SE Certainty]],Driver_Classifcation2[[#Headers],[Possible]:[Pre-Determined]],_xlfn.XLOOKUP(Drivers[[#This Row],[OA Impact]],Driver_Classifcation2[Matrix],Driver_Classifcation2[[Possible]:[Pre-Determined]]))</f>
        <v>Critical Uncertainty</v>
      </c>
      <c r="P13" s="275" t="str">
        <f>_xlfn.XLOOKUP(Drivers[[#This Row],[Driver Classification]],Driver_Classification[Driver Classifcation],Driver_Classification[Key Driver])</f>
        <v>Yes</v>
      </c>
      <c r="Q13" s="275" t="str">
        <f>Drivers[[#This Row],[Driver Short Name]]&amp;" ("&amp;Drivers[[#This Row],[Maco-Environmental Forces]]&amp;"): "&amp;Drivers[[#This Row],[Driver Description]]&amp;" ("&amp;Drivers[[#This Row],[SE Certainty]]&amp;" x "&amp;Drivers[[#This Row],[OA Impact]]&amp;" x "&amp;Drivers[[#This Row],[Nature]]&amp;" = "&amp;Drivers[[#This Row],[Driver Classification]]&amp;")"</f>
        <v>Artificial Intelligence Military Applications (Technological): Machine learning, computer vision, and autonomous decision-making systems increasingly integrated into defense platforms. (Probable x Significant x Neutral = Critical Uncertainty)</v>
      </c>
    </row>
    <row r="14" spans="1:17" s="135" customFormat="1" ht="64" customHeight="1" x14ac:dyDescent="0.2">
      <c r="A14" s="571">
        <v>4</v>
      </c>
      <c r="B14" s="571">
        <v>11</v>
      </c>
      <c r="C14" s="142" t="str">
        <f>LOOKUP(Drivers[[#This Row],['#]],Forces_List['#],Forces_List[Forces])</f>
        <v>Technological</v>
      </c>
      <c r="D14" s="142" t="str" cm="1">
        <f t="array" ref="D14">INDEX(Forces[Variable Short Name],MATCH(1,(Forces['#]=A14)*(Forces[Var. '#]=B14),0))</f>
        <v>Advanced Armor and Active Protection</v>
      </c>
      <c r="E14" s="135">
        <v>11</v>
      </c>
      <c r="F14" s="135" t="s">
        <v>738</v>
      </c>
      <c r="G14" s="142" t="s">
        <v>861</v>
      </c>
      <c r="H14" s="142" t="s">
        <v>862</v>
      </c>
      <c r="I14" s="142" t="s">
        <v>863</v>
      </c>
      <c r="J14" s="142" t="s">
        <v>864</v>
      </c>
      <c r="K14" s="142" t="s">
        <v>865</v>
      </c>
      <c r="L14" s="142" t="s">
        <v>39</v>
      </c>
      <c r="M14" s="142" t="s">
        <v>0</v>
      </c>
      <c r="N14" s="142" t="s">
        <v>33</v>
      </c>
      <c r="O14" s="142" t="str" cm="1">
        <f t="array" ref="O14">_xlfn.XLOOKUP(Drivers[[#This Row],[SE Certainty]],Driver_Classifcation2[[#Headers],[Possible]:[Pre-Determined]],_xlfn.XLOOKUP(Drivers[[#This Row],[OA Impact]],Driver_Classifcation2[Matrix],Driver_Classifcation2[[Possible]:[Pre-Determined]]))</f>
        <v>Critical Uncertainty</v>
      </c>
      <c r="P14" s="275" t="str">
        <f>_xlfn.XLOOKUP(Drivers[[#This Row],[Driver Classification]],Driver_Classification[Driver Classifcation],Driver_Classification[Key Driver])</f>
        <v>Yes</v>
      </c>
      <c r="Q14" s="275" t="str">
        <f>Drivers[[#This Row],[Driver Short Name]]&amp;" ("&amp;Drivers[[#This Row],[Maco-Environmental Forces]]&amp;"): "&amp;Drivers[[#This Row],[Driver Description]]&amp;" ("&amp;Drivers[[#This Row],[SE Certainty]]&amp;" x "&amp;Drivers[[#This Row],[OA Impact]]&amp;" x "&amp;Drivers[[#This Row],[Nature]]&amp;" = "&amp;Drivers[[#This Row],[Driver Classification]]&amp;")"</f>
        <v>Drone and Precision Weapon Proliferation (Technological): Low-cost unmanned aerial systems and anti-tank guided missiles potentially threaten conventional armored vehicle survivability. (Probable x Significant x Positive = Critical Uncertainty)</v>
      </c>
    </row>
    <row r="15" spans="1:17" s="135" customFormat="1" ht="64" customHeight="1" x14ac:dyDescent="0.2">
      <c r="A15" s="571">
        <v>4</v>
      </c>
      <c r="B15" s="571">
        <v>12</v>
      </c>
      <c r="C15" s="142" t="str">
        <f>LOOKUP(Drivers[[#This Row],['#]],Forces_List['#],Forces_List[Forces])</f>
        <v>Technological</v>
      </c>
      <c r="D15" s="142" t="str" cm="1">
        <f t="array" ref="D15">INDEX(Forces[Variable Short Name],MATCH(1,(Forces['#]=A15)*(Forces[Var. '#]=B15),0))</f>
        <v>Digital Manufacturing and Industry 4.0</v>
      </c>
      <c r="E15" s="135">
        <v>12</v>
      </c>
      <c r="F15" s="135" t="s">
        <v>745</v>
      </c>
      <c r="G15" s="142" t="s">
        <v>746</v>
      </c>
      <c r="H15" s="142" t="s">
        <v>747</v>
      </c>
      <c r="I15" s="142" t="s">
        <v>748</v>
      </c>
      <c r="J15" s="142" t="s">
        <v>749</v>
      </c>
      <c r="K15" s="142" t="s">
        <v>750</v>
      </c>
      <c r="L15" s="142" t="s">
        <v>39</v>
      </c>
      <c r="M15" s="142" t="s">
        <v>37</v>
      </c>
      <c r="N15" s="142" t="s">
        <v>33</v>
      </c>
      <c r="O15" s="142" t="str" cm="1">
        <f t="array" ref="O15">_xlfn.XLOOKUP(Drivers[[#This Row],[SE Certainty]],Driver_Classifcation2[[#Headers],[Possible]:[Pre-Determined]],_xlfn.XLOOKUP(Drivers[[#This Row],[OA Impact]],Driver_Classifcation2[Matrix],Driver_Classifcation2[[Possible]:[Pre-Determined]]))</f>
        <v>Critical Uncertainty</v>
      </c>
      <c r="P15" s="275" t="str">
        <f>_xlfn.XLOOKUP(Drivers[[#This Row],[Driver Classification]],Driver_Classification[Driver Classifcation],Driver_Classification[Key Driver])</f>
        <v>Yes</v>
      </c>
      <c r="Q15" s="275" t="str">
        <f>Drivers[[#This Row],[Driver Short Name]]&amp;" ("&amp;Drivers[[#This Row],[Maco-Environmental Forces]]&amp;"): "&amp;Drivers[[#This Row],[Driver Description]]&amp;" ("&amp;Drivers[[#This Row],[SE Certainty]]&amp;" x "&amp;Drivers[[#This Row],[OA Impact]]&amp;" x "&amp;Drivers[[#This Row],[Nature]]&amp;" = "&amp;Drivers[[#This Row],[Driver Classification]]&amp;")"</f>
        <v>Manufacturing Technology Advancement and Automation (Technological): Robotics, AI-driven quality control, and automated production systems transform manufacturing efficiency and precision. (Probable x Moderate x Positive = Critical Uncertainty)</v>
      </c>
    </row>
    <row r="16" spans="1:17" s="135" customFormat="1" ht="64" customHeight="1" x14ac:dyDescent="0.2">
      <c r="A16" s="571">
        <v>5</v>
      </c>
      <c r="B16" s="571">
        <v>13</v>
      </c>
      <c r="C16" s="142" t="str">
        <f>LOOKUP(Drivers[[#This Row],['#]],Forces_List['#],Forces_List[Forces])</f>
        <v>Legal (Laws)</v>
      </c>
      <c r="D16" s="142" t="str" cm="1">
        <f t="array" ref="D16">INDEX(Forces[Variable Short Name],MATCH(1,(Forces['#]=A16)*(Forces[Var. '#]=B16),0))</f>
        <v>Foreign Corrupt Practices Act Compliance</v>
      </c>
      <c r="E16" s="135">
        <v>13</v>
      </c>
      <c r="F16" s="135" t="s">
        <v>757</v>
      </c>
      <c r="G16" s="142" t="s">
        <v>758</v>
      </c>
      <c r="H16" s="142" t="s">
        <v>759</v>
      </c>
      <c r="I16" s="142" t="s">
        <v>760</v>
      </c>
      <c r="J16" s="142" t="s">
        <v>761</v>
      </c>
      <c r="K16" s="142" t="s">
        <v>762</v>
      </c>
      <c r="L16" s="142" t="s">
        <v>36</v>
      </c>
      <c r="M16" s="142" t="s">
        <v>38</v>
      </c>
      <c r="N16" s="142" t="s">
        <v>34</v>
      </c>
      <c r="O16" s="142" t="str" cm="1">
        <f t="array" ref="O16">_xlfn.XLOOKUP(Drivers[[#This Row],[SE Certainty]],Driver_Classifcation2[[#Headers],[Possible]:[Pre-Determined]],_xlfn.XLOOKUP(Drivers[[#This Row],[OA Impact]],Driver_Classifcation2[Matrix],Driver_Classifcation2[[Possible]:[Pre-Determined]]))</f>
        <v>Pre-Determined Factor</v>
      </c>
      <c r="P16" s="275" t="str">
        <f>_xlfn.XLOOKUP(Drivers[[#This Row],[Driver Classification]],Driver_Classification[Driver Classifcation],Driver_Classification[Key Driver])</f>
        <v>Yes</v>
      </c>
      <c r="Q16" s="275" t="str">
        <f>Drivers[[#This Row],[Driver Short Name]]&amp;" ("&amp;Drivers[[#This Row],[Maco-Environmental Forces]]&amp;"): "&amp;Drivers[[#This Row],[Driver Description]]&amp;" ("&amp;Drivers[[#This Row],[SE Certainty]]&amp;" x "&amp;Drivers[[#This Row],[OA Impact]]&amp;" x "&amp;Drivers[[#This Row],[Nature]]&amp;" = "&amp;Drivers[[#This Row],[Driver Classification]]&amp;")"</f>
        <v>Global Anti-Corruption Enforcement Intensification (Legal (Laws)): Increased international coordination on anti-bribery enforcement through OECD conventions and multilateral cooperation. (Pre-Determined x Low x Negative = Pre-Determined Factor)</v>
      </c>
    </row>
    <row r="17" spans="1:17" s="135" customFormat="1" ht="64" customHeight="1" x14ac:dyDescent="0.2">
      <c r="A17" s="571">
        <v>5</v>
      </c>
      <c r="B17" s="571">
        <v>14</v>
      </c>
      <c r="C17" s="142" t="str">
        <f>LOOKUP(Drivers[[#This Row],['#]],Forces_List['#],Forces_List[Forces])</f>
        <v>Legal (Laws)</v>
      </c>
      <c r="D17" s="142" t="str" cm="1">
        <f t="array" ref="D17">INDEX(Forces[Variable Short Name],MATCH(1,(Forces['#]=A17)*(Forces[Var. '#]=B17),0))</f>
        <v>Intellectual Property Protection in Southeast Asia</v>
      </c>
      <c r="E17" s="135">
        <v>14</v>
      </c>
      <c r="F17" s="135" t="s">
        <v>765</v>
      </c>
      <c r="G17" s="142" t="s">
        <v>766</v>
      </c>
      <c r="H17" s="142" t="s">
        <v>878</v>
      </c>
      <c r="I17" s="142" t="s">
        <v>879</v>
      </c>
      <c r="J17" s="142" t="s">
        <v>880</v>
      </c>
      <c r="K17" s="142" t="s">
        <v>881</v>
      </c>
      <c r="L17" s="142" t="s">
        <v>39</v>
      </c>
      <c r="M17" s="142" t="s">
        <v>38</v>
      </c>
      <c r="N17" s="142" t="s">
        <v>35</v>
      </c>
      <c r="O17" s="142" t="str" cm="1">
        <f t="array" ref="O17">_xlfn.XLOOKUP(Drivers[[#This Row],[SE Certainty]],Driver_Classifcation2[[#Headers],[Possible]:[Pre-Determined]],_xlfn.XLOOKUP(Drivers[[#This Row],[OA Impact]],Driver_Classifcation2[Matrix],Driver_Classifcation2[[Possible]:[Pre-Determined]]))</f>
        <v>Secondary Factor</v>
      </c>
      <c r="P17" s="275" t="str">
        <f>_xlfn.XLOOKUP(Drivers[[#This Row],[Driver Classification]],Driver_Classification[Driver Classifcation],Driver_Classification[Key Driver])</f>
        <v>No</v>
      </c>
      <c r="Q17" s="275" t="str">
        <f>Drivers[[#This Row],[Driver Short Name]]&amp;" ("&amp;Drivers[[#This Row],[Maco-Environmental Forces]]&amp;"): "&amp;Drivers[[#This Row],[Driver Description]]&amp;" ("&amp;Drivers[[#This Row],[SE Certainty]]&amp;" x "&amp;Drivers[[#This Row],[OA Impact]]&amp;" x "&amp;Drivers[[#This Row],[Nature]]&amp;" = "&amp;Drivers[[#This Row],[Driver Classification]]&amp;")"</f>
        <v>Trade Agreement IP Standards (Legal (Laws)): Bilateral and multilateral trade agreements increasingly mandate stronger IP protections as conditions for market access. (Probable x Low x Neutral = Secondary Factor)</v>
      </c>
    </row>
    <row r="18" spans="1:17" s="135" customFormat="1" ht="64" customHeight="1" x14ac:dyDescent="0.2">
      <c r="A18" s="571">
        <v>5</v>
      </c>
      <c r="B18" s="571">
        <v>15</v>
      </c>
      <c r="C18" s="142" t="str">
        <f>LOOKUP(Drivers[[#This Row],['#]],Forces_List['#],Forces_List[Forces])</f>
        <v>Legal (Laws)</v>
      </c>
      <c r="D18" s="142" t="str" cm="1">
        <f t="array" ref="D18">INDEX(Forces[Variable Short Name],MATCH(1,(Forces['#]=A18)*(Forces[Var. '#]=B18),0))</f>
        <v>Defense Industry Export Licensing Requirements</v>
      </c>
      <c r="E18" s="135">
        <v>15</v>
      </c>
      <c r="F18" s="135" t="s">
        <v>773</v>
      </c>
      <c r="G18" s="142" t="s">
        <v>774</v>
      </c>
      <c r="H18" s="142" t="s">
        <v>775</v>
      </c>
      <c r="I18" s="142" t="s">
        <v>776</v>
      </c>
      <c r="J18" s="142" t="s">
        <v>777</v>
      </c>
      <c r="K18" s="142" t="s">
        <v>778</v>
      </c>
      <c r="L18" s="142" t="s">
        <v>36</v>
      </c>
      <c r="M18" s="142" t="s">
        <v>37</v>
      </c>
      <c r="N18" s="142" t="s">
        <v>35</v>
      </c>
      <c r="O18" s="142" t="str" cm="1">
        <f t="array" ref="O18">_xlfn.XLOOKUP(Drivers[[#This Row],[SE Certainty]],Driver_Classifcation2[[#Headers],[Possible]:[Pre-Determined]],_xlfn.XLOOKUP(Drivers[[#This Row],[OA Impact]],Driver_Classifcation2[Matrix],Driver_Classifcation2[[Possible]:[Pre-Determined]]))</f>
        <v>Pre-Determined Factor</v>
      </c>
      <c r="P18" s="275" t="str">
        <f>_xlfn.XLOOKUP(Drivers[[#This Row],[Driver Classification]],Driver_Classification[Driver Classifcation],Driver_Classification[Key Driver])</f>
        <v>Yes</v>
      </c>
      <c r="Q18" s="275" t="str">
        <f>Drivers[[#This Row],[Driver Short Name]]&amp;" ("&amp;Drivers[[#This Row],[Maco-Environmental Forces]]&amp;"): "&amp;Drivers[[#This Row],[Driver Description]]&amp;" ("&amp;Drivers[[#This Row],[SE Certainty]]&amp;" x "&amp;Drivers[[#This Row],[OA Impact]]&amp;" x "&amp;Drivers[[#This Row],[Nature]]&amp;" = "&amp;Drivers[[#This Row],[Driver Classification]]&amp;")"</f>
        <v>Geopolitical Alignment and Human Rights (Legal (Laws)): Export licensing increasingly scrutinizes human rights records and geopolitical alignment of recipient nations. (Pre-Determined x Moderate x Neutral = Pre-Determined Factor)</v>
      </c>
    </row>
    <row r="19" spans="1:17" s="135" customFormat="1" ht="64" customHeight="1" x14ac:dyDescent="0.2">
      <c r="A19" s="571">
        <v>6</v>
      </c>
      <c r="B19" s="571">
        <v>16</v>
      </c>
      <c r="C19" s="142" t="str">
        <f>LOOKUP(Drivers[[#This Row],['#]],Forces_List['#],Forces_List[Forces])</f>
        <v>Environmental / Infrastructure</v>
      </c>
      <c r="D19" s="142" t="str" cm="1">
        <f t="array" ref="D19">INDEX(Forces[Variable Short Name],MATCH(1,(Forces['#]=A19)*(Forces[Var. '#]=B19),0))</f>
        <v>Southeast Asian Climate and Terrain</v>
      </c>
      <c r="E19" s="135">
        <v>16</v>
      </c>
      <c r="F19" s="135" t="s">
        <v>785</v>
      </c>
      <c r="G19" s="142" t="s">
        <v>786</v>
      </c>
      <c r="H19" s="142" t="s">
        <v>787</v>
      </c>
      <c r="I19" s="142" t="s">
        <v>788</v>
      </c>
      <c r="J19" s="142" t="s">
        <v>789</v>
      </c>
      <c r="K19" s="142" t="s">
        <v>790</v>
      </c>
      <c r="L19" s="142" t="s">
        <v>36</v>
      </c>
      <c r="M19" s="142" t="s">
        <v>0</v>
      </c>
      <c r="N19" s="142" t="s">
        <v>35</v>
      </c>
      <c r="O19" s="142" t="str" cm="1">
        <f t="array" ref="O19">_xlfn.XLOOKUP(Drivers[[#This Row],[SE Certainty]],Driver_Classifcation2[[#Headers],[Possible]:[Pre-Determined]],_xlfn.XLOOKUP(Drivers[[#This Row],[OA Impact]],Driver_Classifcation2[Matrix],Driver_Classifcation2[[Possible]:[Pre-Determined]]))</f>
        <v>Pre-Determined Factor</v>
      </c>
      <c r="P19" s="275" t="str">
        <f>_xlfn.XLOOKUP(Drivers[[#This Row],[Driver Classification]],Driver_Classification[Driver Classifcation],Driver_Classification[Key Driver])</f>
        <v>Yes</v>
      </c>
      <c r="Q19" s="275" t="str">
        <f>Drivers[[#This Row],[Driver Short Name]]&amp;" ("&amp;Drivers[[#This Row],[Maco-Environmental Forces]]&amp;"): "&amp;Drivers[[#This Row],[Driver Description]]&amp;" ("&amp;Drivers[[#This Row],[SE Certainty]]&amp;" x "&amp;Drivers[[#This Row],[OA Impact]]&amp;" x "&amp;Drivers[[#This Row],[Nature]]&amp;" = "&amp;Drivers[[#This Row],[Driver Classification]]&amp;")"</f>
        <v>Climate Change and Extreme Weather (Environmental / Infrastructure): Rising temperatures, intensified monsoons, and sea-level rise increase severity of environmental stresses on military equipment. (Pre-Determined x Significant x Neutral = Pre-Determined Factor)</v>
      </c>
    </row>
    <row r="20" spans="1:17" s="135" customFormat="1" ht="64" customHeight="1" x14ac:dyDescent="0.2">
      <c r="A20" s="571">
        <v>6</v>
      </c>
      <c r="B20" s="571">
        <v>17</v>
      </c>
      <c r="C20" s="142" t="str">
        <f>LOOKUP(Drivers[[#This Row],['#]],Forces_List['#],Forces_List[Forces])</f>
        <v>Environmental / Infrastructure</v>
      </c>
      <c r="D20" s="142" t="str" cm="1">
        <f t="array" ref="D20">INDEX(Forces[Variable Short Name],MATCH(1,(Forces['#]=A20)*(Forces[Var. '#]=B20),0))</f>
        <v>Regional Transportation and Logistics Networks</v>
      </c>
      <c r="E20" s="135">
        <v>17</v>
      </c>
      <c r="F20" s="135" t="s">
        <v>793</v>
      </c>
      <c r="G20" s="142" t="s">
        <v>886</v>
      </c>
      <c r="H20" s="142" t="s">
        <v>887</v>
      </c>
      <c r="I20" s="142" t="s">
        <v>888</v>
      </c>
      <c r="J20" s="142" t="s">
        <v>889</v>
      </c>
      <c r="K20" s="142" t="s">
        <v>890</v>
      </c>
      <c r="L20" s="142" t="s">
        <v>39</v>
      </c>
      <c r="M20" s="142" t="s">
        <v>38</v>
      </c>
      <c r="N20" s="142" t="s">
        <v>33</v>
      </c>
      <c r="O20" s="142" t="str" cm="1">
        <f t="array" ref="O20">_xlfn.XLOOKUP(Drivers[[#This Row],[SE Certainty]],Driver_Classifcation2[[#Headers],[Possible]:[Pre-Determined]],_xlfn.XLOOKUP(Drivers[[#This Row],[OA Impact]],Driver_Classifcation2[Matrix],Driver_Classifcation2[[Possible]:[Pre-Determined]]))</f>
        <v>Secondary Factor</v>
      </c>
      <c r="P20" s="275" t="str">
        <f>_xlfn.XLOOKUP(Drivers[[#This Row],[Driver Classification]],Driver_Classification[Driver Classifcation],Driver_Classification[Key Driver])</f>
        <v>No</v>
      </c>
      <c r="Q20" s="275" t="str">
        <f>Drivers[[#This Row],[Driver Short Name]]&amp;" ("&amp;Drivers[[#This Row],[Maco-Environmental Forces]]&amp;"): "&amp;Drivers[[#This Row],[Driver Description]]&amp;" ("&amp;Drivers[[#This Row],[SE Certainty]]&amp;" x "&amp;Drivers[[#This Row],[OA Impact]]&amp;" x "&amp;Drivers[[#This Row],[Nature]]&amp;" = "&amp;Drivers[[#This Row],[Driver Classification]]&amp;")"</f>
        <v>Infrastructure Investment and Regional Integration (Environmental / Infrastructure): ASEAN economic integration and Chinese Belt-Road Initiative drive infrastructure development improving logistics capabilities steadily. (Probable x Low x Positive = Secondary Factor)</v>
      </c>
    </row>
    <row r="21" spans="1:17" s="135" customFormat="1" ht="64" customHeight="1" x14ac:dyDescent="0.2">
      <c r="A21" s="571">
        <v>6</v>
      </c>
      <c r="B21" s="571">
        <v>18</v>
      </c>
      <c r="C21" s="142" t="str">
        <f>LOOKUP(Drivers[[#This Row],['#]],Forces_List['#],Forces_List[Forces])</f>
        <v>Environmental / Infrastructure</v>
      </c>
      <c r="D21" s="142" t="str" cm="1">
        <f t="array" ref="D21">INDEX(Forces[Variable Short Name],MATCH(1,(Forces['#]=A21)*(Forces[Var. '#]=B21),0))</f>
        <v>Defense Manufacturing Environmental Regulations</v>
      </c>
      <c r="E21" s="135">
        <v>18</v>
      </c>
      <c r="F21" s="135" t="s">
        <v>800</v>
      </c>
      <c r="G21" s="142" t="s">
        <v>801</v>
      </c>
      <c r="H21" s="142" t="s">
        <v>802</v>
      </c>
      <c r="I21" s="142" t="s">
        <v>803</v>
      </c>
      <c r="J21" s="142" t="s">
        <v>804</v>
      </c>
      <c r="K21" s="142" t="s">
        <v>805</v>
      </c>
      <c r="L21" s="142" t="s">
        <v>39</v>
      </c>
      <c r="M21" s="142" t="s">
        <v>38</v>
      </c>
      <c r="N21" s="142" t="s">
        <v>35</v>
      </c>
      <c r="O21" s="142" t="str" cm="1">
        <f t="array" ref="O21">_xlfn.XLOOKUP(Drivers[[#This Row],[SE Certainty]],Driver_Classifcation2[[#Headers],[Possible]:[Pre-Determined]],_xlfn.XLOOKUP(Drivers[[#This Row],[OA Impact]],Driver_Classifcation2[Matrix],Driver_Classifcation2[[Possible]:[Pre-Determined]]))</f>
        <v>Secondary Factor</v>
      </c>
      <c r="P21" s="275" t="str">
        <f>_xlfn.XLOOKUP(Drivers[[#This Row],[Driver Classification]],Driver_Classification[Driver Classifcation],Driver_Classification[Key Driver])</f>
        <v>No</v>
      </c>
      <c r="Q21" s="275" t="str">
        <f>Drivers[[#This Row],[Driver Short Name]]&amp;" ("&amp;Drivers[[#This Row],[Maco-Environmental Forces]]&amp;"): "&amp;Drivers[[#This Row],[Driver Description]]&amp;" ("&amp;Drivers[[#This Row],[SE Certainty]]&amp;" x "&amp;Drivers[[#This Row],[OA Impact]]&amp;" x "&amp;Drivers[[#This Row],[Nature]]&amp;" = "&amp;Drivers[[#This Row],[Driver Classification]]&amp;")"</f>
        <v>Sustainability and Defense Carbon Footprint (Environmental / Infrastructure): Growing pressure from governments and stakeholders for defense industry to reduce environmental impact and adopt sustainable practices. (Probable x Low x Neutral = Secondary Factor)</v>
      </c>
    </row>
    <row r="22" spans="1:17" ht="64" customHeight="1" x14ac:dyDescent="0.2">
      <c r="A22" s="571">
        <v>7</v>
      </c>
      <c r="B22" s="571">
        <v>19</v>
      </c>
      <c r="C22" s="142" t="str">
        <f>LOOKUP(Drivers[[#This Row],['#]],Forces_List['#],Forces_List[Forces])</f>
        <v>Security and Stability</v>
      </c>
      <c r="D22" s="142" t="str" cm="1">
        <f t="array" ref="D22">INDEX(Forces[Variable Short Name],MATCH(1,(Forces['#]=A22)*(Forces[Var. '#]=B22),0))</f>
        <v>Regional Territorial Disputes and Tensions</v>
      </c>
      <c r="E22" s="135">
        <v>19</v>
      </c>
      <c r="F22" s="135" t="s">
        <v>812</v>
      </c>
      <c r="G22" s="142" t="s">
        <v>813</v>
      </c>
      <c r="H22" s="142" t="s">
        <v>814</v>
      </c>
      <c r="I22" s="142" t="s">
        <v>815</v>
      </c>
      <c r="J22" s="142" t="s">
        <v>816</v>
      </c>
      <c r="K22" s="142" t="s">
        <v>817</v>
      </c>
      <c r="L22" s="142" t="s">
        <v>39</v>
      </c>
      <c r="M22" s="142" t="s">
        <v>0</v>
      </c>
      <c r="N22" s="142" t="s">
        <v>33</v>
      </c>
      <c r="O22" s="142" t="str" cm="1">
        <f t="array" ref="O22">_xlfn.XLOOKUP(Drivers[[#This Row],[SE Certainty]],Driver_Classifcation2[[#Headers],[Possible]:[Pre-Determined]],_xlfn.XLOOKUP(Drivers[[#This Row],[OA Impact]],Driver_Classifcation2[Matrix],Driver_Classifcation2[[Possible]:[Pre-Determined]]))</f>
        <v>Critical Uncertainty</v>
      </c>
      <c r="P22" s="275" t="str">
        <f>_xlfn.XLOOKUP(Drivers[[#This Row],[Driver Classification]],Driver_Classification[Driver Classifcation],Driver_Classification[Key Driver])</f>
        <v>Yes</v>
      </c>
      <c r="Q22" s="275" t="str">
        <f>Drivers[[#This Row],[Driver Short Name]]&amp;" ("&amp;Drivers[[#This Row],[Maco-Environmental Forces]]&amp;"): "&amp;Drivers[[#This Row],[Driver Description]]&amp;" ("&amp;Drivers[[#This Row],[SE Certainty]]&amp;" x "&amp;Drivers[[#This Row],[OA Impact]]&amp;" x "&amp;Drivers[[#This Row],[Nature]]&amp;" = "&amp;Drivers[[#This Row],[Driver Classification]]&amp;")"</f>
        <v>Maritime Sovereignty Competition and Chinese Assertiveness (Security and Stability): China's territorial expansion claims and military activities in disputed waters increase regional security concerns and arms race dynamics. (Probable x Significant x Positive = Critical Uncertainty)</v>
      </c>
    </row>
    <row r="23" spans="1:17" ht="64" customHeight="1" x14ac:dyDescent="0.2">
      <c r="A23" s="571">
        <v>7</v>
      </c>
      <c r="B23" s="571">
        <v>20</v>
      </c>
      <c r="C23" s="142" t="str">
        <f>LOOKUP(Drivers[[#This Row],['#]],Forces_List['#],Forces_List[Forces])</f>
        <v>Security and Stability</v>
      </c>
      <c r="D23" s="142" t="str" cm="1">
        <f t="array" ref="D23">INDEX(Forces[Variable Short Name],MATCH(1,(Forces['#]=A23)*(Forces[Var. '#]=B23),0))</f>
        <v>Terrorism and Internal Insurgency Threats</v>
      </c>
      <c r="E23" s="135">
        <v>20</v>
      </c>
      <c r="F23" s="135" t="s">
        <v>824</v>
      </c>
      <c r="G23" s="142" t="s">
        <v>825</v>
      </c>
      <c r="H23" s="142" t="s">
        <v>826</v>
      </c>
      <c r="I23" s="142" t="s">
        <v>827</v>
      </c>
      <c r="J23" s="142" t="s">
        <v>828</v>
      </c>
      <c r="K23" s="142" t="s">
        <v>829</v>
      </c>
      <c r="L23" s="142" t="s">
        <v>39</v>
      </c>
      <c r="M23" s="142" t="s">
        <v>37</v>
      </c>
      <c r="N23" s="142" t="s">
        <v>33</v>
      </c>
      <c r="O23" s="142" t="str" cm="1">
        <f t="array" ref="O23">_xlfn.XLOOKUP(Drivers[[#This Row],[SE Certainty]],Driver_Classifcation2[[#Headers],[Possible]:[Pre-Determined]],_xlfn.XLOOKUP(Drivers[[#This Row],[OA Impact]],Driver_Classifcation2[Matrix],Driver_Classifcation2[[Possible]:[Pre-Determined]]))</f>
        <v>Critical Uncertainty</v>
      </c>
      <c r="P23" s="275" t="str">
        <f>_xlfn.XLOOKUP(Drivers[[#This Row],[Driver Classification]],Driver_Classification[Driver Classifcation],Driver_Classification[Key Driver])</f>
        <v>Yes</v>
      </c>
      <c r="Q23" s="275" t="str">
        <f>Drivers[[#This Row],[Driver Short Name]]&amp;" ("&amp;Drivers[[#This Row],[Maco-Environmental Forces]]&amp;"): "&amp;Drivers[[#This Row],[Driver Description]]&amp;" ("&amp;Drivers[[#This Row],[SE Certainty]]&amp;" x "&amp;Drivers[[#This Row],[OA Impact]]&amp;" x "&amp;Drivers[[#This Row],[Nature]]&amp;" = "&amp;Drivers[[#This Row],[Driver Classification]]&amp;")"</f>
        <v>Extremism and Separatist Movement Persistence (Security and Stability): Religious extremism, ethnic separatism, and political instability sustain internal security threats requiring ongoing military and police responses. (Probable x Moderate x Positive = Critical Uncertainty)</v>
      </c>
    </row>
    <row r="24" spans="1:17" ht="64" customHeight="1" x14ac:dyDescent="0.2">
      <c r="A24" s="571">
        <v>7</v>
      </c>
      <c r="B24" s="571">
        <v>21</v>
      </c>
      <c r="C24" s="142" t="str">
        <f>LOOKUP(Drivers[[#This Row],['#]],Forces_List['#],Forces_List[Forces])</f>
        <v>Security and Stability</v>
      </c>
      <c r="D24" s="142" t="str" cm="1">
        <f t="array" ref="D24">INDEX(Forces[Variable Short Name],MATCH(1,(Forces['#]=A24)*(Forces[Var. '#]=B24),0))</f>
        <v>Cybersecurity Threats to Defense Industrial Base</v>
      </c>
      <c r="E24" s="135">
        <v>21</v>
      </c>
      <c r="F24" s="135" t="s">
        <v>836</v>
      </c>
      <c r="G24" s="142" t="s">
        <v>837</v>
      </c>
      <c r="H24" s="142" t="s">
        <v>838</v>
      </c>
      <c r="I24" s="142" t="s">
        <v>839</v>
      </c>
      <c r="J24" s="142" t="s">
        <v>840</v>
      </c>
      <c r="K24" s="142" t="s">
        <v>841</v>
      </c>
      <c r="L24" s="142" t="s">
        <v>36</v>
      </c>
      <c r="M24" s="142" t="s">
        <v>0</v>
      </c>
      <c r="N24" s="142" t="s">
        <v>34</v>
      </c>
      <c r="O24" s="142" t="str" cm="1">
        <f t="array" ref="O24">_xlfn.XLOOKUP(Drivers[[#This Row],[SE Certainty]],Driver_Classifcation2[[#Headers],[Possible]:[Pre-Determined]],_xlfn.XLOOKUP(Drivers[[#This Row],[OA Impact]],Driver_Classifcation2[Matrix],Driver_Classifcation2[[Possible]:[Pre-Determined]]))</f>
        <v>Pre-Determined Factor</v>
      </c>
      <c r="P24" s="275" t="str">
        <f>_xlfn.XLOOKUP(Drivers[[#This Row],[Driver Classification]],Driver_Classification[Driver Classifcation],Driver_Classification[Key Driver])</f>
        <v>Yes</v>
      </c>
      <c r="Q24" s="275" t="str">
        <f>Drivers[[#This Row],[Driver Short Name]]&amp;" ("&amp;Drivers[[#This Row],[Maco-Environmental Forces]]&amp;"): "&amp;Drivers[[#This Row],[Driver Description]]&amp;" ("&amp;Drivers[[#This Row],[SE Certainty]]&amp;" x "&amp;Drivers[[#This Row],[OA Impact]]&amp;" x "&amp;Drivers[[#This Row],[Nature]]&amp;" = "&amp;Drivers[[#This Row],[Driver Classification]]&amp;")"</f>
        <v>Nation-State Cyber Espionage Campaigns (Security and Stability): China, Russia, and other actors conduct persistent cyber operations to steal defense technologies and gain military advantages. (Pre-Determined x Significant x Negative = Pre-Determined Factor)</v>
      </c>
    </row>
    <row r="25" spans="1:17" x14ac:dyDescent="0.2">
      <c r="A25" s="142"/>
      <c r="B25" s="142"/>
      <c r="C25" s="119"/>
      <c r="D25" s="119"/>
      <c r="E25" s="119"/>
      <c r="F25" s="119"/>
      <c r="G25" s="119"/>
      <c r="H25" s="119"/>
      <c r="I25" s="119"/>
      <c r="J25" s="119"/>
      <c r="K25" s="119"/>
      <c r="L25" s="119"/>
      <c r="M25" s="119"/>
      <c r="N25" s="119"/>
      <c r="O25" s="119"/>
      <c r="P25" s="119"/>
      <c r="Q25" s="84"/>
    </row>
    <row r="26" spans="1:17" x14ac:dyDescent="0.2">
      <c r="A26" s="142"/>
      <c r="B26" s="142"/>
      <c r="C26" s="119"/>
      <c r="D26" s="119"/>
      <c r="E26" s="119"/>
      <c r="F26" s="119"/>
      <c r="G26" s="119"/>
      <c r="H26" s="119"/>
      <c r="I26" s="119"/>
      <c r="J26" s="119"/>
      <c r="K26" s="119"/>
      <c r="L26" s="119"/>
      <c r="M26" s="119"/>
      <c r="N26" s="119"/>
      <c r="O26" s="119"/>
      <c r="P26" s="119"/>
      <c r="Q26" s="84"/>
    </row>
    <row r="27" spans="1:17" x14ac:dyDescent="0.2">
      <c r="A27" s="142"/>
      <c r="B27" s="142"/>
      <c r="C27" s="119"/>
      <c r="D27" s="119"/>
      <c r="E27" s="119"/>
      <c r="F27" s="119"/>
      <c r="G27" s="119"/>
      <c r="H27" s="119"/>
      <c r="I27" s="119"/>
      <c r="J27" s="119"/>
      <c r="K27" s="119"/>
      <c r="L27" s="119"/>
      <c r="M27" s="119"/>
      <c r="N27" s="119"/>
      <c r="O27" s="119"/>
      <c r="P27" s="119"/>
      <c r="Q27" s="84"/>
    </row>
    <row r="28" spans="1:17" x14ac:dyDescent="0.2">
      <c r="A28" s="142"/>
      <c r="B28" s="142"/>
      <c r="C28" s="119"/>
      <c r="D28" s="119"/>
      <c r="E28" s="119"/>
      <c r="F28" s="119"/>
      <c r="G28" s="119"/>
      <c r="H28" s="119"/>
      <c r="I28" s="119"/>
      <c r="J28" s="119"/>
      <c r="K28" s="119"/>
      <c r="L28" s="119"/>
      <c r="M28" s="119"/>
      <c r="N28" s="119"/>
      <c r="O28" s="119"/>
      <c r="P28" s="119"/>
      <c r="Q28" s="84"/>
    </row>
    <row r="29" spans="1:17" x14ac:dyDescent="0.2">
      <c r="A29" s="142"/>
      <c r="B29" s="142"/>
      <c r="C29" s="119"/>
      <c r="D29" s="119"/>
      <c r="E29" s="119"/>
      <c r="F29" s="119"/>
      <c r="G29" s="119"/>
      <c r="H29" s="119"/>
      <c r="I29" s="119"/>
      <c r="J29" s="119"/>
      <c r="K29" s="119"/>
      <c r="L29" s="119"/>
      <c r="M29" s="119"/>
      <c r="N29" s="119"/>
      <c r="O29" s="119"/>
      <c r="P29" s="119"/>
      <c r="Q29" s="84"/>
    </row>
    <row r="30" spans="1:17" x14ac:dyDescent="0.2">
      <c r="A30" s="142"/>
      <c r="B30" s="142"/>
      <c r="C30" s="119"/>
      <c r="D30" s="119"/>
      <c r="E30" s="119"/>
      <c r="F30" s="119"/>
      <c r="G30" s="119"/>
      <c r="H30" s="119"/>
      <c r="I30" s="119"/>
      <c r="J30" s="119"/>
      <c r="K30" s="119"/>
      <c r="L30" s="119"/>
      <c r="M30" s="119"/>
      <c r="N30" s="119"/>
      <c r="O30" s="119"/>
      <c r="P30" s="119"/>
      <c r="Q30" s="84"/>
    </row>
    <row r="31" spans="1:17" x14ac:dyDescent="0.2">
      <c r="A31" s="142"/>
      <c r="B31" s="142"/>
      <c r="C31" s="119"/>
      <c r="D31" s="119"/>
      <c r="E31" s="119"/>
      <c r="F31" s="119"/>
      <c r="G31" s="119"/>
      <c r="H31" s="119"/>
      <c r="I31" s="119"/>
      <c r="J31" s="119"/>
      <c r="K31" s="119"/>
      <c r="L31" s="119"/>
      <c r="M31" s="119"/>
      <c r="N31" s="119"/>
      <c r="O31" s="119"/>
      <c r="P31" s="119"/>
    </row>
    <row r="32" spans="1:17" x14ac:dyDescent="0.2">
      <c r="A32" s="142"/>
      <c r="B32" s="142"/>
      <c r="C32" s="119"/>
      <c r="D32" s="119"/>
      <c r="E32" s="119"/>
      <c r="F32" s="119"/>
      <c r="G32" s="119"/>
      <c r="H32" s="119"/>
      <c r="I32" s="119"/>
      <c r="J32" s="119"/>
      <c r="K32" s="119"/>
      <c r="L32" s="119"/>
      <c r="M32" s="119"/>
      <c r="N32" s="119"/>
      <c r="O32" s="119"/>
      <c r="P32" s="119"/>
      <c r="Q32" s="84"/>
    </row>
    <row r="33" spans="1:17" x14ac:dyDescent="0.2">
      <c r="A33" s="142"/>
      <c r="B33" s="142"/>
      <c r="C33" s="119"/>
      <c r="D33" s="119"/>
      <c r="E33" s="119"/>
      <c r="F33" s="119"/>
      <c r="G33" s="119"/>
      <c r="H33" s="119"/>
      <c r="I33" s="119"/>
      <c r="J33" s="119"/>
      <c r="K33" s="119"/>
      <c r="L33" s="119"/>
      <c r="M33" s="119"/>
      <c r="N33" s="119"/>
      <c r="O33" s="119"/>
      <c r="P33" s="119"/>
      <c r="Q33" s="84"/>
    </row>
    <row r="34" spans="1:17" x14ac:dyDescent="0.2">
      <c r="A34" s="142"/>
      <c r="B34" s="142"/>
      <c r="C34" s="119"/>
      <c r="D34" s="119"/>
      <c r="G34" s="121"/>
      <c r="H34" s="121"/>
      <c r="I34" s="121"/>
      <c r="J34" s="121"/>
      <c r="K34" s="121"/>
      <c r="L34" s="121"/>
      <c r="M34" s="121"/>
      <c r="N34" s="121"/>
      <c r="O34" s="121"/>
      <c r="Q34" s="84"/>
    </row>
    <row r="35" spans="1:17" x14ac:dyDescent="0.2">
      <c r="A35" s="142"/>
      <c r="B35" s="142"/>
      <c r="C35" s="119"/>
      <c r="D35" s="119"/>
      <c r="E35" s="119"/>
      <c r="F35" s="119"/>
      <c r="G35" s="119"/>
      <c r="H35" s="119"/>
      <c r="I35" s="119"/>
      <c r="J35" s="119"/>
      <c r="K35" s="119"/>
      <c r="L35" s="119"/>
      <c r="M35" s="119"/>
      <c r="N35" s="119"/>
      <c r="O35" s="119"/>
      <c r="P35" s="119"/>
      <c r="Q35" s="84"/>
    </row>
    <row r="36" spans="1:17" x14ac:dyDescent="0.2">
      <c r="A36" s="142"/>
      <c r="B36" s="142"/>
      <c r="C36" s="119"/>
      <c r="D36" s="119"/>
      <c r="E36" s="119"/>
      <c r="F36" s="119"/>
      <c r="G36" s="119"/>
      <c r="H36" s="119"/>
      <c r="I36" s="119"/>
      <c r="J36" s="119"/>
      <c r="K36" s="119"/>
      <c r="L36" s="119"/>
      <c r="M36" s="119"/>
      <c r="N36" s="119"/>
      <c r="O36" s="119"/>
      <c r="P36" s="119"/>
      <c r="Q36" s="84"/>
    </row>
    <row r="37" spans="1:17" x14ac:dyDescent="0.2">
      <c r="A37" s="142"/>
      <c r="B37" s="142"/>
      <c r="C37" s="119"/>
      <c r="D37" s="119"/>
      <c r="E37" s="119"/>
      <c r="F37" s="119"/>
      <c r="G37" s="119"/>
      <c r="H37" s="119"/>
      <c r="I37" s="119"/>
      <c r="J37" s="119"/>
      <c r="K37" s="119"/>
      <c r="L37" s="119"/>
      <c r="M37" s="119"/>
      <c r="N37" s="119"/>
      <c r="O37" s="119"/>
      <c r="P37" s="119"/>
      <c r="Q37" s="84"/>
    </row>
    <row r="38" spans="1:17" x14ac:dyDescent="0.2">
      <c r="A38" s="142"/>
      <c r="B38" s="142"/>
      <c r="C38" s="119"/>
      <c r="D38" s="119"/>
      <c r="E38" s="119"/>
      <c r="F38" s="119"/>
      <c r="G38" s="119"/>
      <c r="H38" s="119"/>
      <c r="I38" s="119"/>
      <c r="J38" s="119"/>
      <c r="K38" s="119"/>
      <c r="L38" s="119"/>
      <c r="M38" s="119"/>
      <c r="N38" s="119"/>
      <c r="O38" s="119"/>
      <c r="P38" s="119"/>
      <c r="Q38" s="84"/>
    </row>
    <row r="39" spans="1:17" x14ac:dyDescent="0.2">
      <c r="A39" s="142"/>
      <c r="B39" s="142"/>
      <c r="C39" s="119"/>
      <c r="D39" s="119"/>
      <c r="E39" s="119"/>
      <c r="F39" s="119"/>
      <c r="G39" s="119"/>
      <c r="H39" s="119"/>
      <c r="I39" s="119"/>
      <c r="J39" s="119"/>
      <c r="K39" s="119"/>
      <c r="L39" s="119"/>
      <c r="M39" s="119"/>
      <c r="N39" s="119"/>
      <c r="O39" s="119"/>
      <c r="P39" s="119"/>
      <c r="Q39" s="84"/>
    </row>
    <row r="40" spans="1:17" x14ac:dyDescent="0.2">
      <c r="A40" s="142"/>
      <c r="B40" s="142"/>
      <c r="C40" s="119"/>
      <c r="D40" s="119"/>
      <c r="E40" s="119"/>
      <c r="F40" s="119"/>
      <c r="G40" s="119"/>
      <c r="H40" s="119"/>
      <c r="I40" s="119"/>
      <c r="J40" s="119"/>
      <c r="K40" s="119"/>
      <c r="L40" s="119"/>
      <c r="M40" s="119"/>
      <c r="N40" s="119"/>
      <c r="O40" s="119"/>
      <c r="P40" s="119"/>
      <c r="Q40" s="84"/>
    </row>
    <row r="41" spans="1:17" x14ac:dyDescent="0.2">
      <c r="A41" s="142"/>
      <c r="B41" s="142"/>
      <c r="C41" s="119"/>
      <c r="D41" s="119"/>
      <c r="E41" s="119"/>
      <c r="F41" s="119"/>
      <c r="G41" s="119"/>
      <c r="H41" s="119"/>
      <c r="I41" s="119"/>
      <c r="J41" s="119"/>
      <c r="K41" s="119"/>
      <c r="L41" s="119"/>
      <c r="M41" s="119"/>
      <c r="N41" s="119"/>
      <c r="O41" s="119"/>
      <c r="P41" s="119"/>
      <c r="Q41" s="84"/>
    </row>
    <row r="42" spans="1:17" x14ac:dyDescent="0.2">
      <c r="A42" s="142"/>
      <c r="B42" s="142"/>
      <c r="C42" s="119"/>
      <c r="D42" s="119"/>
      <c r="E42" s="119"/>
      <c r="F42" s="119"/>
      <c r="G42" s="119"/>
      <c r="H42" s="119"/>
      <c r="I42" s="119"/>
      <c r="J42" s="119"/>
      <c r="K42" s="119"/>
      <c r="L42" s="119"/>
      <c r="M42" s="119"/>
      <c r="N42" s="119"/>
      <c r="O42" s="119"/>
      <c r="P42" s="119"/>
      <c r="Q42" s="84"/>
    </row>
    <row r="43" spans="1:17" x14ac:dyDescent="0.2">
      <c r="A43" s="142"/>
      <c r="B43" s="142"/>
      <c r="C43" s="119"/>
      <c r="D43" s="119"/>
      <c r="E43" s="119"/>
      <c r="F43" s="119"/>
      <c r="G43" s="119"/>
      <c r="H43" s="119"/>
      <c r="I43" s="119"/>
      <c r="J43" s="119"/>
      <c r="K43" s="119"/>
      <c r="L43" s="119"/>
      <c r="M43" s="119"/>
      <c r="N43" s="119"/>
      <c r="O43" s="119"/>
      <c r="P43" s="119"/>
      <c r="Q43" s="84"/>
    </row>
    <row r="44" spans="1:17" x14ac:dyDescent="0.2">
      <c r="A44" s="142"/>
      <c r="B44" s="142"/>
      <c r="C44" s="119"/>
      <c r="D44" s="119"/>
      <c r="E44" s="119"/>
      <c r="F44" s="119"/>
      <c r="G44" s="119"/>
      <c r="H44" s="119"/>
      <c r="I44" s="119"/>
      <c r="J44" s="119"/>
      <c r="K44" s="119"/>
      <c r="L44" s="119"/>
      <c r="M44" s="119"/>
      <c r="N44" s="119"/>
      <c r="O44" s="119"/>
      <c r="P44" s="119"/>
      <c r="Q44" s="84"/>
    </row>
    <row r="45" spans="1:17" x14ac:dyDescent="0.2">
      <c r="A45" s="142"/>
      <c r="B45" s="142"/>
      <c r="C45" s="119"/>
      <c r="D45" s="119"/>
      <c r="E45" s="119"/>
      <c r="F45" s="119"/>
      <c r="G45" s="119"/>
      <c r="H45" s="119"/>
      <c r="I45" s="119"/>
      <c r="J45" s="119"/>
      <c r="K45" s="119"/>
      <c r="L45" s="119"/>
      <c r="M45" s="119"/>
      <c r="N45" s="119"/>
      <c r="O45" s="119"/>
      <c r="P45" s="119"/>
      <c r="Q45" s="84"/>
    </row>
    <row r="46" spans="1:17" x14ac:dyDescent="0.2">
      <c r="A46" s="142"/>
      <c r="B46" s="142"/>
      <c r="C46" s="119"/>
      <c r="D46" s="119"/>
      <c r="E46" s="119"/>
      <c r="F46" s="119"/>
      <c r="G46" s="119"/>
      <c r="H46" s="119"/>
      <c r="I46" s="119"/>
      <c r="J46" s="119"/>
      <c r="K46" s="119"/>
      <c r="L46" s="119"/>
      <c r="M46" s="119"/>
      <c r="N46" s="119"/>
      <c r="O46" s="119"/>
      <c r="P46" s="119"/>
      <c r="Q46" s="84"/>
    </row>
    <row r="47" spans="1:17" x14ac:dyDescent="0.2">
      <c r="A47" s="142"/>
      <c r="B47" s="142"/>
      <c r="C47" s="119"/>
      <c r="D47" s="119"/>
      <c r="E47" s="119"/>
      <c r="F47" s="119"/>
      <c r="G47" s="119"/>
      <c r="H47" s="119"/>
      <c r="I47" s="119"/>
      <c r="J47" s="119"/>
      <c r="K47" s="119"/>
      <c r="L47" s="119"/>
      <c r="M47" s="119"/>
      <c r="N47" s="119"/>
      <c r="O47" s="119"/>
      <c r="P47" s="119"/>
      <c r="Q47" s="84"/>
    </row>
    <row r="48" spans="1:17" x14ac:dyDescent="0.2">
      <c r="A48" s="142"/>
      <c r="B48" s="142"/>
      <c r="C48" s="119"/>
      <c r="D48" s="119"/>
      <c r="E48" s="119"/>
      <c r="F48" s="119"/>
      <c r="G48" s="119"/>
      <c r="H48" s="119"/>
      <c r="I48" s="119"/>
      <c r="J48" s="119"/>
      <c r="K48" s="119"/>
      <c r="L48" s="119"/>
      <c r="M48" s="119"/>
      <c r="N48" s="119"/>
      <c r="O48" s="119"/>
      <c r="P48" s="119"/>
      <c r="Q48" s="84"/>
    </row>
    <row r="49" spans="1:17" x14ac:dyDescent="0.2">
      <c r="A49" s="142"/>
      <c r="B49" s="142"/>
      <c r="C49" s="119"/>
      <c r="D49" s="119"/>
      <c r="E49" s="119"/>
      <c r="F49" s="119"/>
      <c r="G49" s="119"/>
      <c r="H49" s="119"/>
      <c r="I49" s="119"/>
      <c r="J49" s="119"/>
      <c r="K49" s="119"/>
      <c r="L49" s="119"/>
      <c r="M49" s="119"/>
      <c r="N49" s="119"/>
      <c r="O49" s="119"/>
      <c r="P49" s="119"/>
      <c r="Q49" s="84"/>
    </row>
    <row r="50" spans="1:17" x14ac:dyDescent="0.2">
      <c r="A50" s="142"/>
      <c r="B50" s="142"/>
      <c r="C50" s="119"/>
      <c r="D50" s="119"/>
      <c r="E50" s="119"/>
      <c r="F50" s="119"/>
      <c r="G50" s="119"/>
      <c r="H50" s="119"/>
      <c r="I50" s="119"/>
      <c r="J50" s="119"/>
      <c r="K50" s="119"/>
      <c r="L50" s="119"/>
      <c r="M50" s="119"/>
      <c r="N50" s="119"/>
      <c r="O50" s="119"/>
      <c r="P50" s="119"/>
      <c r="Q50" s="84"/>
    </row>
    <row r="51" spans="1:17" x14ac:dyDescent="0.2">
      <c r="A51" s="142"/>
      <c r="B51" s="142"/>
      <c r="C51" s="119"/>
      <c r="D51" s="119"/>
      <c r="E51" s="119"/>
      <c r="F51" s="119"/>
      <c r="G51" s="119"/>
      <c r="H51" s="119"/>
      <c r="I51" s="119"/>
      <c r="J51" s="119"/>
      <c r="K51" s="119"/>
      <c r="L51" s="119"/>
      <c r="M51" s="119"/>
      <c r="N51" s="119"/>
      <c r="O51" s="119"/>
      <c r="P51" s="119"/>
      <c r="Q51" s="84"/>
    </row>
    <row r="52" spans="1:17" x14ac:dyDescent="0.2">
      <c r="A52" s="142"/>
      <c r="B52" s="142"/>
      <c r="C52" s="119"/>
      <c r="D52" s="119"/>
      <c r="E52" s="119"/>
      <c r="F52" s="119"/>
      <c r="G52" s="119"/>
      <c r="H52" s="119"/>
      <c r="I52" s="119"/>
      <c r="J52" s="119"/>
      <c r="K52" s="119"/>
      <c r="L52" s="119"/>
      <c r="M52" s="119"/>
      <c r="N52" s="119"/>
      <c r="O52" s="119"/>
      <c r="P52" s="119"/>
      <c r="Q52" s="84"/>
    </row>
    <row r="53" spans="1:17" x14ac:dyDescent="0.2">
      <c r="A53" s="142"/>
      <c r="B53" s="142"/>
      <c r="C53" s="119"/>
      <c r="D53" s="119"/>
      <c r="E53" s="119"/>
      <c r="F53" s="119"/>
      <c r="G53" s="119"/>
      <c r="H53" s="119"/>
      <c r="I53" s="119"/>
      <c r="J53" s="119"/>
      <c r="K53" s="119"/>
      <c r="L53" s="119"/>
      <c r="M53" s="119"/>
      <c r="N53" s="119"/>
      <c r="O53" s="119"/>
      <c r="P53" s="119"/>
      <c r="Q53" s="84"/>
    </row>
    <row r="54" spans="1:17" x14ac:dyDescent="0.2">
      <c r="A54" s="142"/>
      <c r="B54" s="142"/>
      <c r="C54" s="119"/>
      <c r="D54" s="119"/>
      <c r="E54" s="119"/>
      <c r="F54" s="119"/>
      <c r="G54" s="119"/>
      <c r="H54" s="119"/>
      <c r="I54" s="119"/>
      <c r="J54" s="119"/>
      <c r="K54" s="119"/>
      <c r="L54" s="119"/>
      <c r="M54" s="119"/>
      <c r="N54" s="119"/>
      <c r="O54" s="119"/>
      <c r="P54" s="119"/>
      <c r="Q54" s="84"/>
    </row>
    <row r="55" spans="1:17" x14ac:dyDescent="0.2">
      <c r="A55" s="142"/>
      <c r="B55" s="142"/>
      <c r="C55" s="119"/>
      <c r="D55" s="119"/>
      <c r="E55" s="119"/>
      <c r="F55" s="119"/>
      <c r="G55" s="119"/>
      <c r="H55" s="119"/>
      <c r="I55" s="119"/>
      <c r="J55" s="119"/>
      <c r="K55" s="119"/>
      <c r="L55" s="119"/>
      <c r="M55" s="119"/>
      <c r="N55" s="119"/>
      <c r="O55" s="119"/>
      <c r="P55" s="119"/>
      <c r="Q55" s="84"/>
    </row>
    <row r="56" spans="1:17" x14ac:dyDescent="0.2">
      <c r="A56" s="142"/>
      <c r="B56" s="142"/>
      <c r="C56" s="119"/>
      <c r="D56" s="119"/>
      <c r="E56" s="119"/>
      <c r="F56" s="119"/>
      <c r="G56" s="119"/>
      <c r="H56" s="119"/>
      <c r="I56" s="119"/>
      <c r="J56" s="119"/>
      <c r="K56" s="119"/>
      <c r="L56" s="119"/>
      <c r="M56" s="119"/>
      <c r="N56" s="119"/>
      <c r="O56" s="119"/>
      <c r="P56" s="119"/>
      <c r="Q56" s="84"/>
    </row>
    <row r="57" spans="1:17" x14ac:dyDescent="0.2">
      <c r="A57" s="142"/>
      <c r="B57" s="142"/>
      <c r="C57" s="119"/>
      <c r="D57" s="119"/>
      <c r="E57" s="119"/>
      <c r="F57" s="119"/>
      <c r="G57" s="119"/>
      <c r="H57" s="119"/>
      <c r="I57" s="119"/>
      <c r="J57" s="119"/>
      <c r="K57" s="119"/>
      <c r="L57" s="119"/>
      <c r="M57" s="119"/>
      <c r="N57" s="119"/>
      <c r="O57" s="119"/>
      <c r="P57" s="119"/>
    </row>
    <row r="58" spans="1:17" x14ac:dyDescent="0.2">
      <c r="A58" s="142"/>
      <c r="B58" s="142"/>
      <c r="C58" s="119"/>
      <c r="D58" s="119"/>
      <c r="E58" s="119"/>
      <c r="F58" s="119"/>
      <c r="G58" s="119"/>
      <c r="H58" s="119"/>
      <c r="I58" s="119"/>
      <c r="J58" s="119"/>
      <c r="K58" s="119"/>
      <c r="L58" s="119"/>
      <c r="M58" s="119"/>
      <c r="N58" s="119"/>
      <c r="O58" s="119"/>
      <c r="P58" s="119"/>
    </row>
    <row r="59" spans="1:17" x14ac:dyDescent="0.2">
      <c r="A59" s="142"/>
      <c r="B59" s="142"/>
      <c r="C59" s="119"/>
      <c r="D59" s="119"/>
      <c r="E59" s="119"/>
      <c r="F59" s="119"/>
      <c r="G59" s="119"/>
      <c r="H59" s="119"/>
      <c r="I59" s="119"/>
      <c r="J59" s="119"/>
      <c r="K59" s="119"/>
      <c r="L59" s="119"/>
      <c r="M59" s="119"/>
      <c r="N59" s="119"/>
      <c r="O59" s="119"/>
      <c r="P59" s="119"/>
    </row>
    <row r="60" spans="1:17" x14ac:dyDescent="0.2">
      <c r="C60" s="119"/>
      <c r="D60" s="119"/>
      <c r="E60" s="119"/>
      <c r="F60" s="119"/>
      <c r="G60" s="119"/>
      <c r="H60" s="119"/>
      <c r="I60" s="143"/>
      <c r="J60" s="143"/>
      <c r="K60" s="119"/>
      <c r="L60" s="119"/>
      <c r="M60" s="119"/>
      <c r="N60" s="119"/>
      <c r="O60" s="119"/>
      <c r="P60" s="119"/>
    </row>
    <row r="61" spans="1:17" x14ac:dyDescent="0.2">
      <c r="C61" s="119"/>
      <c r="D61" s="119"/>
      <c r="E61" s="119"/>
      <c r="F61" s="119"/>
      <c r="G61" s="119"/>
      <c r="H61" s="119"/>
      <c r="I61" s="143"/>
      <c r="J61" s="143"/>
      <c r="K61" s="119"/>
      <c r="L61" s="119"/>
      <c r="M61" s="119"/>
      <c r="N61" s="119"/>
      <c r="O61" s="119"/>
      <c r="P61" s="119"/>
    </row>
    <row r="62" spans="1:17" x14ac:dyDescent="0.2">
      <c r="C62" s="119"/>
      <c r="D62" s="119"/>
      <c r="E62" s="119"/>
      <c r="F62" s="119"/>
      <c r="G62" s="119"/>
      <c r="H62" s="119"/>
      <c r="I62" s="143"/>
      <c r="J62" s="143"/>
      <c r="K62" s="119"/>
      <c r="L62" s="119"/>
      <c r="M62" s="119"/>
      <c r="N62" s="119"/>
      <c r="O62" s="119"/>
      <c r="P62" s="119"/>
    </row>
    <row r="63" spans="1:17" x14ac:dyDescent="0.2">
      <c r="C63" s="119"/>
      <c r="D63" s="119"/>
      <c r="E63" s="119"/>
      <c r="F63" s="119"/>
      <c r="G63" s="119"/>
      <c r="H63" s="119"/>
      <c r="I63" s="143"/>
      <c r="J63" s="143"/>
      <c r="K63" s="119"/>
      <c r="L63" s="119"/>
      <c r="M63" s="119"/>
      <c r="N63" s="119"/>
      <c r="O63" s="119"/>
      <c r="P63" s="119"/>
    </row>
    <row r="64" spans="1:17" x14ac:dyDescent="0.2">
      <c r="C64" s="119"/>
      <c r="D64" s="119"/>
      <c r="E64" s="119"/>
      <c r="F64" s="119"/>
      <c r="G64" s="119"/>
      <c r="H64" s="119"/>
      <c r="I64" s="143"/>
      <c r="J64" s="143"/>
      <c r="K64" s="119"/>
      <c r="L64" s="119"/>
      <c r="M64" s="119"/>
      <c r="N64" s="119"/>
      <c r="O64" s="119"/>
      <c r="P64" s="119"/>
    </row>
    <row r="65" spans="3:16" x14ac:dyDescent="0.2">
      <c r="C65" s="119"/>
      <c r="D65" s="119"/>
      <c r="E65" s="119"/>
      <c r="F65" s="119"/>
      <c r="G65" s="119"/>
      <c r="H65" s="119"/>
      <c r="I65" s="143"/>
      <c r="J65" s="143"/>
      <c r="K65" s="119"/>
      <c r="L65" s="119"/>
      <c r="M65" s="119"/>
      <c r="N65" s="119"/>
      <c r="O65" s="119"/>
      <c r="P65" s="119"/>
    </row>
    <row r="66" spans="3:16" x14ac:dyDescent="0.2">
      <c r="C66" s="119"/>
      <c r="D66" s="119"/>
      <c r="E66" s="119"/>
      <c r="F66" s="119"/>
      <c r="G66" s="119"/>
      <c r="H66" s="119"/>
      <c r="I66" s="143"/>
      <c r="J66" s="143"/>
      <c r="K66" s="119"/>
      <c r="L66" s="119"/>
      <c r="M66" s="119"/>
      <c r="N66" s="119"/>
      <c r="O66" s="119"/>
      <c r="P66" s="119"/>
    </row>
    <row r="67" spans="3:16" x14ac:dyDescent="0.2">
      <c r="C67" s="119"/>
      <c r="D67" s="119"/>
      <c r="E67" s="119"/>
      <c r="F67" s="119"/>
      <c r="G67" s="119"/>
      <c r="H67" s="119"/>
      <c r="I67" s="143"/>
      <c r="J67" s="143"/>
      <c r="K67" s="119"/>
      <c r="L67" s="119"/>
      <c r="M67" s="119"/>
      <c r="N67" s="119"/>
      <c r="O67" s="119"/>
      <c r="P67" s="119"/>
    </row>
    <row r="68" spans="3:16" x14ac:dyDescent="0.2">
      <c r="C68" s="119"/>
      <c r="D68" s="119"/>
      <c r="E68" s="119"/>
      <c r="F68" s="119"/>
      <c r="G68" s="119"/>
      <c r="H68" s="119"/>
      <c r="I68" s="143"/>
      <c r="J68" s="143"/>
      <c r="K68" s="119"/>
      <c r="L68" s="119"/>
      <c r="M68" s="119"/>
      <c r="N68" s="119"/>
      <c r="O68" s="119"/>
      <c r="P68" s="119"/>
    </row>
    <row r="69" spans="3:16" x14ac:dyDescent="0.2">
      <c r="C69" s="119"/>
      <c r="D69" s="119"/>
      <c r="E69" s="119"/>
      <c r="F69" s="119"/>
      <c r="G69" s="119"/>
      <c r="H69" s="119"/>
      <c r="I69" s="143"/>
      <c r="J69" s="143"/>
      <c r="K69" s="119"/>
      <c r="L69" s="119"/>
      <c r="M69" s="119"/>
      <c r="N69" s="119"/>
      <c r="O69" s="119"/>
      <c r="P69" s="119"/>
    </row>
    <row r="70" spans="3:16" x14ac:dyDescent="0.2">
      <c r="C70" s="119"/>
      <c r="D70" s="119"/>
      <c r="E70" s="119"/>
      <c r="F70" s="119"/>
      <c r="G70" s="119"/>
      <c r="H70" s="119"/>
      <c r="I70" s="143"/>
      <c r="J70" s="143"/>
      <c r="K70" s="119"/>
      <c r="L70" s="119"/>
      <c r="M70" s="119"/>
      <c r="N70" s="119"/>
      <c r="O70" s="119"/>
      <c r="P70" s="119"/>
    </row>
    <row r="71" spans="3:16" x14ac:dyDescent="0.2">
      <c r="C71" s="119"/>
      <c r="D71" s="119"/>
      <c r="E71" s="119"/>
      <c r="F71" s="119"/>
      <c r="G71" s="119"/>
      <c r="H71" s="119"/>
      <c r="I71" s="119"/>
      <c r="J71" s="143"/>
      <c r="K71" s="143"/>
      <c r="L71" s="119"/>
      <c r="M71" s="119"/>
      <c r="N71" s="119"/>
      <c r="O71" s="119"/>
      <c r="P71" s="119"/>
    </row>
    <row r="72" spans="3:16" x14ac:dyDescent="0.2">
      <c r="C72" s="119"/>
      <c r="D72" s="119"/>
      <c r="E72" s="119"/>
      <c r="F72" s="119"/>
      <c r="G72" s="119"/>
      <c r="H72" s="119"/>
      <c r="I72" s="119"/>
      <c r="J72" s="143"/>
      <c r="K72" s="143"/>
      <c r="L72" s="119"/>
      <c r="M72" s="119"/>
      <c r="N72" s="119"/>
      <c r="O72" s="119"/>
      <c r="P72" s="119"/>
    </row>
    <row r="73" spans="3:16" x14ac:dyDescent="0.2">
      <c r="C73" s="119"/>
      <c r="D73" s="119"/>
      <c r="E73" s="119"/>
      <c r="F73" s="119"/>
      <c r="G73" s="119"/>
      <c r="H73" s="119"/>
      <c r="I73" s="119"/>
      <c r="J73" s="143"/>
      <c r="K73" s="143"/>
      <c r="L73" s="119"/>
      <c r="M73" s="119"/>
      <c r="N73" s="119"/>
      <c r="O73" s="119"/>
      <c r="P73" s="119"/>
    </row>
    <row r="74" spans="3:16" x14ac:dyDescent="0.2">
      <c r="C74" s="119"/>
      <c r="D74" s="119"/>
      <c r="E74" s="119"/>
      <c r="F74" s="119"/>
      <c r="G74" s="119"/>
      <c r="H74" s="119"/>
      <c r="I74" s="119"/>
      <c r="J74" s="143"/>
      <c r="K74" s="143"/>
      <c r="L74" s="119"/>
      <c r="M74" s="119"/>
      <c r="N74" s="119"/>
      <c r="O74" s="119"/>
      <c r="P74" s="119"/>
    </row>
    <row r="75" spans="3:16" x14ac:dyDescent="0.2">
      <c r="C75" s="119"/>
      <c r="D75" s="119"/>
      <c r="E75" s="119"/>
      <c r="F75" s="119"/>
      <c r="G75" s="119"/>
      <c r="H75" s="119"/>
      <c r="I75" s="119"/>
      <c r="J75" s="143"/>
      <c r="K75" s="143"/>
      <c r="L75" s="119"/>
      <c r="M75" s="119"/>
      <c r="N75" s="119"/>
      <c r="O75" s="119"/>
      <c r="P75" s="119"/>
    </row>
    <row r="76" spans="3:16" x14ac:dyDescent="0.2">
      <c r="C76" s="119"/>
      <c r="D76" s="119"/>
      <c r="E76" s="119"/>
      <c r="F76" s="119"/>
      <c r="G76" s="119"/>
      <c r="H76" s="119"/>
      <c r="I76" s="119"/>
      <c r="J76" s="143"/>
      <c r="K76" s="143"/>
      <c r="L76" s="119"/>
      <c r="M76" s="119"/>
      <c r="N76" s="119"/>
      <c r="O76" s="119"/>
      <c r="P76" s="119"/>
    </row>
    <row r="77" spans="3:16" x14ac:dyDescent="0.2">
      <c r="C77" s="119"/>
      <c r="D77" s="119"/>
      <c r="E77" s="119"/>
      <c r="F77" s="119"/>
      <c r="G77" s="119"/>
      <c r="H77" s="119"/>
      <c r="I77" s="119"/>
      <c r="J77" s="143"/>
      <c r="K77" s="143"/>
      <c r="L77" s="119"/>
      <c r="M77" s="119"/>
      <c r="N77" s="119"/>
      <c r="O77" s="119"/>
      <c r="P77" s="119"/>
    </row>
    <row r="78" spans="3:16" x14ac:dyDescent="0.2">
      <c r="C78" s="119"/>
      <c r="D78" s="119"/>
      <c r="E78" s="119"/>
      <c r="F78" s="119"/>
      <c r="G78" s="119"/>
      <c r="H78" s="119"/>
      <c r="I78" s="143"/>
      <c r="J78" s="143"/>
      <c r="K78" s="119"/>
      <c r="L78" s="119"/>
      <c r="M78" s="119"/>
      <c r="N78" s="119"/>
      <c r="O78" s="119"/>
      <c r="P78" s="119"/>
    </row>
    <row r="79" spans="3:16" x14ac:dyDescent="0.2">
      <c r="C79" s="119"/>
      <c r="D79" s="119"/>
      <c r="E79" s="119"/>
      <c r="F79" s="119"/>
      <c r="G79" s="119"/>
      <c r="H79" s="119"/>
      <c r="I79" s="143"/>
      <c r="J79" s="143"/>
      <c r="K79" s="119"/>
      <c r="L79" s="119"/>
      <c r="M79" s="119"/>
      <c r="N79" s="119"/>
      <c r="O79" s="119"/>
      <c r="P79" s="119"/>
    </row>
    <row r="80" spans="3:16" x14ac:dyDescent="0.2">
      <c r="C80" s="119"/>
      <c r="D80" s="119"/>
      <c r="E80" s="119"/>
      <c r="F80" s="119"/>
      <c r="G80" s="119"/>
      <c r="H80" s="119"/>
      <c r="I80" s="143"/>
      <c r="J80" s="143"/>
      <c r="K80" s="119"/>
      <c r="L80" s="119"/>
      <c r="M80" s="119"/>
      <c r="N80" s="119"/>
      <c r="O80" s="119"/>
      <c r="P80" s="119"/>
    </row>
    <row r="81" spans="3:16" x14ac:dyDescent="0.2">
      <c r="C81" s="119"/>
      <c r="D81" s="119"/>
      <c r="E81" s="119"/>
      <c r="F81" s="119"/>
      <c r="G81" s="119"/>
      <c r="H81" s="119"/>
      <c r="I81" s="143"/>
      <c r="J81" s="143"/>
      <c r="K81" s="119"/>
      <c r="L81" s="119"/>
      <c r="M81" s="119"/>
      <c r="N81" s="119"/>
      <c r="O81" s="119"/>
      <c r="P81" s="119"/>
    </row>
    <row r="82" spans="3:16" x14ac:dyDescent="0.2">
      <c r="C82" s="119"/>
      <c r="D82" s="119"/>
      <c r="E82" s="119"/>
      <c r="F82" s="119"/>
      <c r="G82" s="119"/>
      <c r="H82" s="119"/>
      <c r="I82" s="143"/>
      <c r="J82" s="143"/>
      <c r="K82" s="119"/>
      <c r="L82" s="119"/>
      <c r="M82" s="119"/>
      <c r="N82" s="119"/>
      <c r="O82" s="119"/>
      <c r="P82" s="119"/>
    </row>
    <row r="83" spans="3:16" x14ac:dyDescent="0.2">
      <c r="C83" s="119"/>
      <c r="D83" s="119"/>
      <c r="E83" s="119"/>
      <c r="F83" s="119"/>
      <c r="G83" s="119"/>
      <c r="H83" s="119"/>
      <c r="I83" s="143"/>
      <c r="J83" s="143"/>
      <c r="K83" s="119"/>
      <c r="L83" s="119"/>
      <c r="M83" s="119"/>
      <c r="N83" s="119"/>
      <c r="O83" s="119"/>
      <c r="P83" s="119"/>
    </row>
    <row r="84" spans="3:16" x14ac:dyDescent="0.2">
      <c r="C84" s="119"/>
      <c r="D84" s="119"/>
      <c r="E84" s="119"/>
      <c r="F84" s="119"/>
      <c r="G84" s="119"/>
      <c r="H84" s="119"/>
      <c r="I84" s="143"/>
      <c r="J84" s="143"/>
      <c r="K84" s="119"/>
      <c r="L84" s="119"/>
      <c r="M84" s="119"/>
      <c r="N84" s="119"/>
      <c r="O84" s="119"/>
      <c r="P84" s="119"/>
    </row>
    <row r="85" spans="3:16" x14ac:dyDescent="0.2">
      <c r="C85" s="119"/>
      <c r="D85" s="119"/>
      <c r="E85" s="119"/>
      <c r="F85" s="119"/>
      <c r="G85" s="119"/>
      <c r="H85" s="119"/>
      <c r="I85" s="143"/>
      <c r="J85" s="143"/>
      <c r="K85" s="119"/>
      <c r="L85" s="119"/>
      <c r="M85" s="119"/>
      <c r="N85" s="119"/>
      <c r="O85" s="119"/>
      <c r="P85" s="119"/>
    </row>
    <row r="86" spans="3:16" x14ac:dyDescent="0.2">
      <c r="C86" s="119"/>
      <c r="D86" s="119"/>
      <c r="E86" s="119"/>
      <c r="F86" s="119"/>
      <c r="G86" s="119"/>
      <c r="H86" s="119"/>
      <c r="I86" s="143"/>
      <c r="J86" s="143"/>
      <c r="K86" s="119"/>
      <c r="L86" s="119"/>
      <c r="M86" s="119"/>
      <c r="N86" s="119"/>
      <c r="O86" s="119"/>
      <c r="P86" s="119"/>
    </row>
    <row r="87" spans="3:16" x14ac:dyDescent="0.2">
      <c r="C87" s="119"/>
      <c r="D87" s="119"/>
      <c r="E87" s="119"/>
      <c r="F87" s="119"/>
      <c r="G87" s="119"/>
      <c r="H87" s="119"/>
      <c r="I87" s="143"/>
      <c r="J87" s="143"/>
      <c r="K87" s="119"/>
      <c r="L87" s="119"/>
      <c r="M87" s="119"/>
      <c r="N87" s="119"/>
      <c r="O87" s="119"/>
      <c r="P87" s="119"/>
    </row>
    <row r="88" spans="3:16" x14ac:dyDescent="0.2">
      <c r="C88" s="119"/>
      <c r="D88" s="119"/>
      <c r="E88" s="119"/>
      <c r="F88" s="119"/>
      <c r="G88" s="119"/>
      <c r="H88" s="119"/>
      <c r="I88" s="143"/>
      <c r="J88" s="143"/>
      <c r="K88" s="119"/>
      <c r="L88" s="119"/>
      <c r="M88" s="119"/>
      <c r="N88" s="119"/>
      <c r="O88" s="119"/>
      <c r="P88" s="119"/>
    </row>
    <row r="89" spans="3:16" x14ac:dyDescent="0.2">
      <c r="C89" s="119"/>
      <c r="D89" s="119"/>
      <c r="E89" s="119"/>
      <c r="F89" s="119"/>
      <c r="G89" s="119"/>
      <c r="H89" s="119"/>
      <c r="I89" s="143"/>
      <c r="J89" s="143"/>
      <c r="K89" s="119"/>
      <c r="L89" s="119"/>
      <c r="M89" s="119"/>
      <c r="N89" s="119"/>
      <c r="O89" s="119"/>
      <c r="P89" s="119"/>
    </row>
    <row r="90" spans="3:16" x14ac:dyDescent="0.2">
      <c r="C90" s="119"/>
      <c r="D90" s="119"/>
      <c r="E90" s="119"/>
      <c r="F90" s="119"/>
      <c r="G90" s="119"/>
      <c r="H90" s="119"/>
      <c r="I90" s="143"/>
      <c r="J90" s="143"/>
      <c r="K90" s="119"/>
      <c r="L90" s="119"/>
      <c r="M90" s="119"/>
      <c r="N90" s="119"/>
      <c r="O90" s="119"/>
      <c r="P90" s="119"/>
    </row>
    <row r="91" spans="3:16" x14ac:dyDescent="0.2">
      <c r="C91" s="119"/>
      <c r="D91" s="119"/>
      <c r="E91" s="119"/>
      <c r="F91" s="119"/>
      <c r="G91" s="119"/>
      <c r="H91" s="119"/>
      <c r="I91" s="143"/>
      <c r="J91" s="143"/>
      <c r="K91" s="119"/>
      <c r="L91" s="119"/>
      <c r="M91" s="119"/>
      <c r="N91" s="119"/>
      <c r="O91" s="119"/>
      <c r="P91" s="119"/>
    </row>
    <row r="92" spans="3:16" x14ac:dyDescent="0.2">
      <c r="C92" s="119"/>
      <c r="D92" s="119"/>
      <c r="E92" s="119"/>
      <c r="F92" s="119"/>
      <c r="G92" s="119"/>
      <c r="H92" s="119"/>
      <c r="I92" s="143"/>
      <c r="J92" s="143"/>
      <c r="K92" s="119"/>
      <c r="L92" s="119"/>
      <c r="M92" s="119"/>
      <c r="N92" s="119"/>
      <c r="O92" s="119"/>
      <c r="P92" s="119"/>
    </row>
    <row r="93" spans="3:16" x14ac:dyDescent="0.2">
      <c r="C93" s="119"/>
      <c r="D93" s="119"/>
      <c r="E93" s="119"/>
      <c r="F93" s="119"/>
      <c r="G93" s="119"/>
      <c r="H93" s="119"/>
      <c r="I93" s="143"/>
      <c r="J93" s="143"/>
      <c r="K93" s="119"/>
      <c r="L93" s="119"/>
      <c r="M93" s="119"/>
      <c r="N93" s="119"/>
      <c r="O93" s="119"/>
      <c r="P93" s="119"/>
    </row>
    <row r="94" spans="3:16" x14ac:dyDescent="0.2">
      <c r="C94" s="119"/>
      <c r="D94" s="119"/>
      <c r="E94" s="119"/>
      <c r="F94" s="119"/>
      <c r="G94" s="119"/>
      <c r="H94" s="119"/>
      <c r="I94" s="143"/>
      <c r="J94" s="143"/>
      <c r="K94" s="119"/>
      <c r="L94" s="119"/>
      <c r="M94" s="119"/>
      <c r="N94" s="119"/>
      <c r="O94" s="119"/>
      <c r="P94" s="119"/>
    </row>
    <row r="95" spans="3:16" x14ac:dyDescent="0.2">
      <c r="C95" s="119"/>
      <c r="D95" s="119"/>
      <c r="E95" s="119"/>
      <c r="F95" s="119"/>
      <c r="G95" s="119"/>
      <c r="H95" s="119"/>
      <c r="I95" s="143"/>
      <c r="J95" s="143"/>
      <c r="K95" s="119"/>
      <c r="L95" s="119"/>
      <c r="M95" s="119"/>
      <c r="N95" s="119"/>
      <c r="O95" s="119"/>
      <c r="P95" s="119"/>
    </row>
    <row r="96" spans="3:16" x14ac:dyDescent="0.2">
      <c r="C96" s="119"/>
      <c r="D96" s="119"/>
      <c r="E96" s="119"/>
      <c r="F96" s="119"/>
      <c r="G96" s="119"/>
      <c r="H96" s="119"/>
      <c r="I96" s="143"/>
      <c r="J96" s="143"/>
      <c r="K96" s="119"/>
      <c r="L96" s="119"/>
      <c r="M96" s="119"/>
      <c r="N96" s="119"/>
      <c r="O96" s="119"/>
      <c r="P96" s="119"/>
    </row>
    <row r="97" spans="3:16" x14ac:dyDescent="0.2">
      <c r="C97" s="119"/>
      <c r="D97" s="119"/>
      <c r="E97" s="119"/>
      <c r="F97" s="119"/>
      <c r="G97" s="119"/>
      <c r="H97" s="119"/>
      <c r="I97" s="143"/>
      <c r="J97" s="143"/>
      <c r="K97" s="119"/>
      <c r="L97" s="119"/>
      <c r="M97" s="119"/>
      <c r="N97" s="119"/>
      <c r="O97" s="119"/>
      <c r="P97" s="119"/>
    </row>
    <row r="98" spans="3:16" x14ac:dyDescent="0.2">
      <c r="C98" s="119"/>
      <c r="D98" s="119"/>
      <c r="E98" s="119"/>
      <c r="F98" s="119"/>
      <c r="G98" s="119"/>
      <c r="H98" s="119"/>
      <c r="I98" s="143"/>
      <c r="J98" s="143"/>
      <c r="K98" s="119"/>
      <c r="L98" s="119"/>
      <c r="M98" s="119"/>
      <c r="N98" s="119"/>
      <c r="O98" s="119"/>
      <c r="P98" s="119"/>
    </row>
    <row r="99" spans="3:16" x14ac:dyDescent="0.2">
      <c r="C99" s="119"/>
      <c r="D99" s="119"/>
      <c r="E99" s="119"/>
      <c r="F99" s="119"/>
      <c r="G99" s="119"/>
      <c r="H99" s="119"/>
      <c r="I99" s="143"/>
      <c r="J99" s="143"/>
      <c r="K99" s="119"/>
      <c r="L99" s="119"/>
      <c r="M99" s="119"/>
      <c r="N99" s="119"/>
      <c r="O99" s="119"/>
      <c r="P99" s="119"/>
    </row>
    <row r="100" spans="3:16" x14ac:dyDescent="0.2">
      <c r="C100" s="119"/>
      <c r="D100" s="119"/>
      <c r="E100" s="119"/>
      <c r="F100" s="119"/>
      <c r="G100" s="119"/>
      <c r="H100" s="119"/>
      <c r="I100" s="143"/>
      <c r="J100" s="143"/>
      <c r="K100" s="119"/>
      <c r="L100" s="119"/>
      <c r="M100" s="119"/>
      <c r="N100" s="119"/>
      <c r="O100" s="119"/>
      <c r="P100" s="119"/>
    </row>
    <row r="101" spans="3:16" x14ac:dyDescent="0.2">
      <c r="C101" s="119"/>
      <c r="D101" s="119"/>
      <c r="E101" s="119"/>
      <c r="F101" s="119"/>
      <c r="G101" s="119"/>
      <c r="H101" s="119"/>
      <c r="I101" s="143"/>
      <c r="J101" s="143"/>
      <c r="K101" s="119"/>
      <c r="L101" s="119"/>
      <c r="M101" s="119"/>
      <c r="N101" s="119"/>
      <c r="O101" s="119"/>
      <c r="P101" s="119"/>
    </row>
    <row r="102" spans="3:16" x14ac:dyDescent="0.2">
      <c r="C102" s="119"/>
      <c r="D102" s="119"/>
      <c r="E102" s="119"/>
      <c r="F102" s="119"/>
      <c r="G102" s="119"/>
      <c r="H102" s="119"/>
      <c r="I102" s="143"/>
      <c r="J102" s="143"/>
      <c r="K102" s="119"/>
      <c r="L102" s="119"/>
      <c r="M102" s="119"/>
      <c r="N102" s="119"/>
      <c r="O102" s="119"/>
      <c r="P102" s="119"/>
    </row>
    <row r="103" spans="3:16" x14ac:dyDescent="0.2">
      <c r="C103" s="119"/>
      <c r="D103" s="119"/>
      <c r="E103" s="119"/>
      <c r="F103" s="119"/>
      <c r="G103" s="119"/>
      <c r="H103" s="119"/>
      <c r="I103" s="143"/>
      <c r="J103" s="143"/>
      <c r="K103" s="119"/>
      <c r="L103" s="119"/>
      <c r="M103" s="119"/>
      <c r="N103" s="119"/>
      <c r="O103" s="119"/>
      <c r="P103" s="119"/>
    </row>
    <row r="104" spans="3:16" x14ac:dyDescent="0.2">
      <c r="C104" s="119"/>
      <c r="D104" s="119"/>
      <c r="E104" s="119"/>
      <c r="F104" s="119"/>
      <c r="G104" s="119"/>
      <c r="H104" s="119"/>
      <c r="I104" s="143"/>
      <c r="J104" s="143"/>
      <c r="K104" s="119"/>
      <c r="L104" s="119"/>
      <c r="M104" s="119"/>
      <c r="N104" s="119"/>
      <c r="O104" s="119"/>
      <c r="P104" s="119"/>
    </row>
    <row r="105" spans="3:16" x14ac:dyDescent="0.2">
      <c r="C105" s="119"/>
      <c r="D105" s="119"/>
      <c r="E105" s="119"/>
      <c r="F105" s="119"/>
      <c r="G105" s="119"/>
      <c r="H105" s="119"/>
      <c r="I105" s="143"/>
      <c r="J105" s="143"/>
      <c r="K105" s="119"/>
      <c r="L105" s="119"/>
      <c r="M105" s="119"/>
      <c r="N105" s="119"/>
      <c r="O105" s="119"/>
      <c r="P105" s="119"/>
    </row>
    <row r="106" spans="3:16" x14ac:dyDescent="0.2">
      <c r="C106" s="119"/>
      <c r="D106" s="119"/>
      <c r="E106" s="119"/>
      <c r="F106" s="119"/>
      <c r="G106" s="119"/>
      <c r="H106" s="119"/>
      <c r="I106" s="143"/>
      <c r="J106" s="143"/>
      <c r="K106" s="119"/>
      <c r="L106" s="119"/>
      <c r="M106" s="119"/>
      <c r="N106" s="119"/>
      <c r="O106" s="119"/>
      <c r="P106" s="119"/>
    </row>
    <row r="107" spans="3:16" x14ac:dyDescent="0.2">
      <c r="C107" s="119"/>
      <c r="D107" s="119"/>
      <c r="E107" s="119"/>
      <c r="F107" s="119"/>
      <c r="G107" s="119"/>
      <c r="H107" s="119"/>
      <c r="I107" s="143"/>
      <c r="J107" s="143"/>
      <c r="K107" s="119"/>
      <c r="L107" s="119"/>
      <c r="M107" s="119"/>
      <c r="N107" s="119"/>
      <c r="O107" s="119"/>
      <c r="P107" s="119"/>
    </row>
    <row r="108" spans="3:16" x14ac:dyDescent="0.2">
      <c r="C108" s="119"/>
      <c r="D108" s="119"/>
      <c r="E108" s="119"/>
      <c r="F108" s="119"/>
      <c r="G108" s="119"/>
      <c r="H108" s="119"/>
      <c r="I108" s="143"/>
      <c r="J108" s="143"/>
      <c r="K108" s="119"/>
      <c r="L108" s="119"/>
      <c r="M108" s="119"/>
      <c r="N108" s="119"/>
      <c r="O108" s="119"/>
      <c r="P108" s="119"/>
    </row>
    <row r="109" spans="3:16" x14ac:dyDescent="0.2">
      <c r="C109" s="119"/>
      <c r="D109" s="119"/>
      <c r="E109" s="119"/>
      <c r="F109" s="119"/>
      <c r="G109" s="119"/>
      <c r="H109" s="119"/>
      <c r="I109" s="143"/>
      <c r="J109" s="143"/>
      <c r="K109" s="119"/>
      <c r="L109" s="119"/>
      <c r="M109" s="119"/>
      <c r="N109" s="119"/>
      <c r="O109" s="119"/>
      <c r="P109" s="119"/>
    </row>
    <row r="110" spans="3:16" x14ac:dyDescent="0.2">
      <c r="C110" s="119"/>
      <c r="D110" s="119"/>
      <c r="E110" s="119"/>
      <c r="F110" s="119"/>
      <c r="G110" s="119"/>
      <c r="H110" s="119"/>
      <c r="I110" s="143"/>
      <c r="J110" s="143"/>
      <c r="K110" s="119"/>
      <c r="L110" s="119"/>
      <c r="M110" s="119"/>
      <c r="N110" s="119"/>
      <c r="O110" s="119"/>
      <c r="P110" s="119"/>
    </row>
    <row r="111" spans="3:16" x14ac:dyDescent="0.2">
      <c r="C111" s="119"/>
      <c r="D111" s="119"/>
      <c r="E111" s="119"/>
      <c r="F111" s="119"/>
      <c r="G111" s="119"/>
      <c r="H111" s="119"/>
      <c r="I111" s="143"/>
      <c r="J111" s="143"/>
      <c r="K111" s="119"/>
      <c r="L111" s="119"/>
      <c r="M111" s="119"/>
      <c r="N111" s="119"/>
      <c r="O111" s="119"/>
      <c r="P111" s="119"/>
    </row>
    <row r="112" spans="3:16" x14ac:dyDescent="0.2">
      <c r="C112" s="119"/>
      <c r="D112" s="119"/>
      <c r="E112" s="119"/>
      <c r="F112" s="119"/>
      <c r="G112" s="119"/>
      <c r="H112" s="119"/>
      <c r="I112" s="143"/>
      <c r="J112" s="143"/>
      <c r="K112" s="119"/>
      <c r="L112" s="119"/>
      <c r="M112" s="119"/>
      <c r="N112" s="119"/>
      <c r="O112" s="119"/>
      <c r="P112" s="119"/>
    </row>
    <row r="113" spans="3:16" x14ac:dyDescent="0.2">
      <c r="C113" s="119"/>
      <c r="D113" s="119"/>
      <c r="E113" s="119"/>
      <c r="F113" s="119"/>
      <c r="G113" s="119"/>
      <c r="H113" s="119"/>
      <c r="I113" s="143"/>
      <c r="J113" s="143"/>
      <c r="K113" s="119"/>
      <c r="L113" s="119"/>
      <c r="M113" s="119"/>
      <c r="N113" s="119"/>
      <c r="O113" s="119"/>
      <c r="P113" s="119"/>
    </row>
    <row r="114" spans="3:16" x14ac:dyDescent="0.2">
      <c r="C114" s="119"/>
      <c r="D114" s="119"/>
      <c r="E114" s="119"/>
      <c r="F114" s="119"/>
      <c r="G114" s="119"/>
      <c r="H114" s="119"/>
      <c r="I114" s="143"/>
      <c r="J114" s="143"/>
      <c r="K114" s="119"/>
      <c r="L114" s="119"/>
      <c r="M114" s="119"/>
      <c r="N114" s="119"/>
      <c r="O114" s="119"/>
      <c r="P114" s="119"/>
    </row>
    <row r="115" spans="3:16" x14ac:dyDescent="0.2">
      <c r="C115" s="119"/>
      <c r="D115" s="119"/>
      <c r="E115" s="119"/>
      <c r="F115" s="119"/>
      <c r="G115" s="119"/>
      <c r="H115" s="119"/>
      <c r="I115" s="143"/>
      <c r="J115" s="143"/>
      <c r="K115" s="119"/>
      <c r="L115" s="119"/>
      <c r="M115" s="119"/>
      <c r="N115" s="119"/>
      <c r="O115" s="119"/>
      <c r="P115" s="119"/>
    </row>
    <row r="116" spans="3:16" x14ac:dyDescent="0.2">
      <c r="C116" s="119"/>
      <c r="D116" s="119"/>
      <c r="E116" s="119"/>
      <c r="F116" s="119"/>
      <c r="G116" s="119"/>
      <c r="H116" s="119"/>
      <c r="I116" s="143"/>
      <c r="J116" s="143"/>
      <c r="K116" s="119"/>
      <c r="L116" s="119"/>
      <c r="M116" s="119"/>
      <c r="N116" s="119"/>
      <c r="O116" s="119"/>
      <c r="P116" s="119"/>
    </row>
    <row r="117" spans="3:16" x14ac:dyDescent="0.2">
      <c r="C117" s="119"/>
      <c r="D117" s="119"/>
      <c r="E117" s="119"/>
      <c r="F117" s="119"/>
      <c r="G117" s="119"/>
      <c r="H117" s="119"/>
      <c r="I117" s="143"/>
      <c r="J117" s="143"/>
      <c r="K117" s="119"/>
      <c r="L117" s="119"/>
      <c r="M117" s="119"/>
      <c r="N117" s="119"/>
      <c r="O117" s="119"/>
      <c r="P117" s="119"/>
    </row>
    <row r="118" spans="3:16" x14ac:dyDescent="0.2">
      <c r="C118" s="119"/>
      <c r="D118" s="119"/>
      <c r="E118" s="119"/>
      <c r="F118" s="119"/>
      <c r="G118" s="119"/>
      <c r="H118" s="119"/>
      <c r="I118" s="143"/>
      <c r="J118" s="143"/>
      <c r="K118" s="119"/>
      <c r="L118" s="119"/>
      <c r="M118" s="119"/>
      <c r="N118" s="119"/>
      <c r="O118" s="119"/>
      <c r="P118" s="119"/>
    </row>
    <row r="119" spans="3:16" x14ac:dyDescent="0.2">
      <c r="C119" s="119"/>
      <c r="D119" s="119"/>
      <c r="E119" s="119"/>
      <c r="F119" s="119"/>
      <c r="G119" s="119"/>
      <c r="H119" s="119"/>
      <c r="I119" s="143"/>
      <c r="J119" s="143"/>
      <c r="K119" s="119"/>
      <c r="L119" s="119"/>
      <c r="M119" s="119"/>
      <c r="N119" s="119"/>
      <c r="O119" s="119"/>
      <c r="P119" s="119"/>
    </row>
    <row r="120" spans="3:16" x14ac:dyDescent="0.2">
      <c r="C120" s="119"/>
      <c r="D120" s="119"/>
      <c r="E120" s="119"/>
      <c r="F120" s="119"/>
      <c r="G120" s="119"/>
      <c r="H120" s="119"/>
      <c r="I120" s="143"/>
      <c r="J120" s="143"/>
      <c r="K120" s="119"/>
      <c r="L120" s="119"/>
      <c r="M120" s="119"/>
      <c r="N120" s="119"/>
      <c r="O120" s="119"/>
      <c r="P120" s="119"/>
    </row>
    <row r="121" spans="3:16" x14ac:dyDescent="0.2">
      <c r="C121" s="119"/>
      <c r="D121" s="119"/>
      <c r="E121" s="119"/>
      <c r="F121" s="119"/>
      <c r="G121" s="119"/>
      <c r="H121" s="119"/>
      <c r="I121" s="143"/>
      <c r="J121" s="143"/>
      <c r="K121" s="119"/>
      <c r="L121" s="119"/>
      <c r="M121" s="119"/>
      <c r="N121" s="119"/>
      <c r="O121" s="119"/>
      <c r="P121" s="119"/>
    </row>
    <row r="122" spans="3:16" x14ac:dyDescent="0.2">
      <c r="C122" s="119"/>
      <c r="D122" s="119"/>
      <c r="E122" s="119"/>
      <c r="F122" s="119"/>
      <c r="G122" s="119"/>
      <c r="H122" s="119"/>
      <c r="I122" s="143"/>
      <c r="J122" s="143"/>
      <c r="K122" s="119"/>
      <c r="L122" s="119"/>
      <c r="M122" s="119"/>
      <c r="N122" s="119"/>
      <c r="O122" s="119"/>
      <c r="P122" s="119"/>
    </row>
    <row r="123" spans="3:16" x14ac:dyDescent="0.2">
      <c r="C123" s="119"/>
      <c r="D123" s="119"/>
      <c r="E123" s="119"/>
      <c r="F123" s="119"/>
      <c r="G123" s="119"/>
      <c r="H123" s="119"/>
      <c r="I123" s="143"/>
      <c r="J123" s="143"/>
      <c r="K123" s="119"/>
      <c r="L123" s="119"/>
      <c r="M123" s="119"/>
      <c r="N123" s="119"/>
      <c r="O123" s="119"/>
      <c r="P123" s="119"/>
    </row>
    <row r="124" spans="3:16" x14ac:dyDescent="0.2">
      <c r="C124" s="119"/>
      <c r="D124" s="119"/>
      <c r="E124" s="119"/>
      <c r="F124" s="119"/>
      <c r="G124" s="119"/>
      <c r="H124" s="119"/>
      <c r="I124" s="143"/>
      <c r="J124" s="143"/>
      <c r="K124" s="119"/>
      <c r="L124" s="119"/>
      <c r="M124" s="119"/>
      <c r="N124" s="119"/>
      <c r="O124" s="119"/>
      <c r="P124" s="119"/>
    </row>
    <row r="125" spans="3:16" x14ac:dyDescent="0.2">
      <c r="C125" s="119"/>
      <c r="D125" s="119"/>
      <c r="E125" s="119"/>
      <c r="F125" s="119"/>
      <c r="G125" s="119"/>
      <c r="H125" s="119"/>
      <c r="I125" s="143"/>
      <c r="J125" s="143"/>
      <c r="K125" s="119"/>
      <c r="L125" s="119"/>
      <c r="M125" s="119"/>
      <c r="N125" s="119"/>
      <c r="O125" s="119"/>
      <c r="P125" s="119"/>
    </row>
    <row r="126" spans="3:16" x14ac:dyDescent="0.2">
      <c r="C126" s="119"/>
      <c r="D126" s="119"/>
      <c r="E126" s="119"/>
      <c r="F126" s="119"/>
      <c r="G126" s="119"/>
      <c r="H126" s="119"/>
      <c r="I126" s="143"/>
      <c r="J126" s="143"/>
      <c r="K126" s="119"/>
      <c r="L126" s="119"/>
      <c r="M126" s="119"/>
      <c r="N126" s="119"/>
      <c r="O126" s="119"/>
      <c r="P126" s="119"/>
    </row>
    <row r="127" spans="3:16" x14ac:dyDescent="0.2">
      <c r="C127" s="119"/>
      <c r="D127" s="119"/>
      <c r="E127" s="119"/>
      <c r="F127" s="119"/>
      <c r="G127" s="119"/>
      <c r="H127" s="119"/>
      <c r="I127" s="143"/>
      <c r="J127" s="143"/>
      <c r="K127" s="119"/>
      <c r="L127" s="119"/>
      <c r="M127" s="119"/>
      <c r="N127" s="119"/>
      <c r="O127" s="119"/>
      <c r="P127" s="119"/>
    </row>
    <row r="128" spans="3:16" x14ac:dyDescent="0.2">
      <c r="C128" s="119"/>
      <c r="D128" s="119"/>
      <c r="E128" s="119"/>
      <c r="F128" s="119"/>
      <c r="G128" s="119"/>
      <c r="H128" s="119"/>
      <c r="I128" s="143"/>
      <c r="J128" s="143"/>
      <c r="K128" s="119"/>
      <c r="L128" s="119"/>
      <c r="M128" s="119"/>
      <c r="N128" s="119"/>
      <c r="O128" s="119"/>
      <c r="P128" s="119"/>
    </row>
    <row r="129" spans="3:16" x14ac:dyDescent="0.2">
      <c r="C129" s="119"/>
      <c r="D129" s="119"/>
      <c r="E129" s="119"/>
      <c r="F129" s="119"/>
      <c r="G129" s="119"/>
      <c r="H129" s="119"/>
      <c r="I129" s="143"/>
      <c r="J129" s="143"/>
      <c r="K129" s="119"/>
      <c r="L129" s="119"/>
      <c r="M129" s="119"/>
      <c r="N129" s="119"/>
      <c r="O129" s="119"/>
      <c r="P129" s="119"/>
    </row>
    <row r="130" spans="3:16" x14ac:dyDescent="0.2">
      <c r="C130" s="119"/>
      <c r="D130" s="119"/>
      <c r="E130" s="119"/>
      <c r="F130" s="119"/>
      <c r="G130" s="119"/>
      <c r="H130" s="119"/>
      <c r="I130" s="143"/>
      <c r="J130" s="143"/>
      <c r="K130" s="119"/>
      <c r="L130" s="119"/>
      <c r="M130" s="119"/>
      <c r="N130" s="119"/>
      <c r="O130" s="119"/>
      <c r="P130" s="119"/>
    </row>
    <row r="131" spans="3:16" x14ac:dyDescent="0.2">
      <c r="C131" s="119"/>
      <c r="D131" s="119"/>
      <c r="E131" s="119"/>
      <c r="F131" s="119"/>
      <c r="G131" s="119"/>
      <c r="H131" s="119"/>
      <c r="I131" s="143"/>
      <c r="J131" s="143"/>
      <c r="K131" s="119"/>
      <c r="L131" s="119"/>
      <c r="M131" s="119"/>
      <c r="N131" s="119"/>
      <c r="O131" s="119"/>
      <c r="P131" s="119"/>
    </row>
    <row r="132" spans="3:16" x14ac:dyDescent="0.2">
      <c r="C132" s="119"/>
      <c r="D132" s="119"/>
      <c r="E132" s="119"/>
      <c r="F132" s="119"/>
      <c r="G132" s="119"/>
      <c r="H132" s="119"/>
      <c r="I132" s="143"/>
      <c r="J132" s="143"/>
      <c r="K132" s="119"/>
      <c r="L132" s="119"/>
      <c r="M132" s="119"/>
      <c r="N132" s="119"/>
      <c r="O132" s="119"/>
      <c r="P132" s="119"/>
    </row>
    <row r="133" spans="3:16" x14ac:dyDescent="0.2">
      <c r="C133" s="119"/>
      <c r="D133" s="119"/>
      <c r="E133" s="119"/>
      <c r="F133" s="119"/>
      <c r="G133" s="119"/>
      <c r="H133" s="119"/>
      <c r="I133" s="143"/>
      <c r="J133" s="143"/>
      <c r="K133" s="119"/>
      <c r="L133" s="119"/>
      <c r="M133" s="119"/>
      <c r="N133" s="119"/>
      <c r="O133" s="119"/>
      <c r="P133" s="119"/>
    </row>
    <row r="134" spans="3:16" x14ac:dyDescent="0.2">
      <c r="C134" s="119"/>
      <c r="D134" s="119"/>
      <c r="E134" s="119"/>
      <c r="F134" s="119"/>
      <c r="G134" s="119"/>
      <c r="H134" s="119"/>
      <c r="I134" s="143"/>
      <c r="J134" s="143"/>
      <c r="K134" s="119"/>
      <c r="L134" s="119"/>
      <c r="M134" s="119"/>
      <c r="N134" s="119"/>
      <c r="O134" s="119"/>
      <c r="P134" s="119"/>
    </row>
    <row r="135" spans="3:16" x14ac:dyDescent="0.2">
      <c r="C135" s="119"/>
      <c r="D135" s="119"/>
      <c r="E135" s="119"/>
      <c r="F135" s="119"/>
      <c r="G135" s="119"/>
      <c r="H135" s="119"/>
      <c r="I135" s="143"/>
      <c r="J135" s="143"/>
      <c r="K135" s="119"/>
      <c r="L135" s="119"/>
      <c r="M135" s="119"/>
      <c r="N135" s="119"/>
      <c r="O135" s="119"/>
      <c r="P135" s="119"/>
    </row>
    <row r="136" spans="3:16" x14ac:dyDescent="0.2">
      <c r="C136" s="119"/>
      <c r="D136" s="119"/>
      <c r="E136" s="119"/>
      <c r="F136" s="119"/>
      <c r="G136" s="119"/>
      <c r="H136" s="119"/>
      <c r="I136" s="143"/>
      <c r="J136" s="143"/>
      <c r="K136" s="119"/>
      <c r="L136" s="119"/>
      <c r="M136" s="119"/>
      <c r="N136" s="119"/>
      <c r="O136" s="119"/>
      <c r="P136" s="119"/>
    </row>
    <row r="137" spans="3:16" x14ac:dyDescent="0.2">
      <c r="C137" s="119"/>
      <c r="D137" s="119"/>
      <c r="E137" s="119"/>
      <c r="F137" s="119"/>
      <c r="G137" s="119"/>
      <c r="H137" s="119"/>
      <c r="I137" s="143"/>
      <c r="J137" s="143"/>
      <c r="K137" s="119"/>
      <c r="L137" s="119"/>
      <c r="M137" s="119"/>
      <c r="N137" s="119"/>
      <c r="O137" s="119"/>
      <c r="P137" s="119"/>
    </row>
    <row r="138" spans="3:16" x14ac:dyDescent="0.2">
      <c r="C138" s="119"/>
      <c r="D138" s="119"/>
      <c r="E138" s="119"/>
      <c r="F138" s="119"/>
      <c r="G138" s="119"/>
      <c r="H138" s="119"/>
      <c r="I138" s="143"/>
      <c r="J138" s="143"/>
      <c r="K138" s="119"/>
      <c r="L138" s="119"/>
      <c r="M138" s="119"/>
      <c r="N138" s="119"/>
      <c r="O138" s="119"/>
      <c r="P138" s="119"/>
    </row>
    <row r="139" spans="3:16" x14ac:dyDescent="0.2">
      <c r="C139" s="119"/>
      <c r="D139" s="119"/>
      <c r="E139" s="119"/>
      <c r="F139" s="119"/>
      <c r="G139" s="119"/>
      <c r="H139" s="119"/>
      <c r="I139" s="143"/>
      <c r="J139" s="143"/>
      <c r="K139" s="119"/>
      <c r="L139" s="119"/>
      <c r="M139" s="119"/>
      <c r="N139" s="119"/>
      <c r="O139" s="119"/>
      <c r="P139" s="119"/>
    </row>
    <row r="140" spans="3:16" x14ac:dyDescent="0.2">
      <c r="C140" s="119"/>
      <c r="D140" s="119"/>
      <c r="E140" s="119"/>
      <c r="F140" s="119"/>
      <c r="G140" s="119"/>
      <c r="H140" s="119"/>
      <c r="I140" s="143"/>
      <c r="J140" s="143"/>
      <c r="K140" s="119"/>
      <c r="L140" s="119"/>
      <c r="M140" s="119"/>
      <c r="N140" s="119"/>
      <c r="O140" s="119"/>
      <c r="P140" s="119"/>
    </row>
    <row r="141" spans="3:16" x14ac:dyDescent="0.2">
      <c r="C141" s="119"/>
      <c r="D141" s="119"/>
      <c r="E141" s="119"/>
      <c r="F141" s="119"/>
      <c r="G141" s="119"/>
      <c r="H141" s="119"/>
      <c r="I141" s="143"/>
      <c r="J141" s="143"/>
      <c r="K141" s="119"/>
      <c r="L141" s="119"/>
      <c r="M141" s="119"/>
      <c r="N141" s="119"/>
      <c r="O141" s="119"/>
      <c r="P141" s="119"/>
    </row>
    <row r="142" spans="3:16" x14ac:dyDescent="0.2">
      <c r="C142" s="119"/>
      <c r="D142" s="119"/>
      <c r="E142" s="119"/>
      <c r="F142" s="119"/>
      <c r="G142" s="119"/>
      <c r="H142" s="119"/>
      <c r="I142" s="143"/>
      <c r="J142" s="143"/>
      <c r="K142" s="119"/>
      <c r="L142" s="119"/>
      <c r="M142" s="119"/>
      <c r="N142" s="119"/>
      <c r="O142" s="119"/>
      <c r="P142" s="119"/>
    </row>
    <row r="143" spans="3:16" x14ac:dyDescent="0.2">
      <c r="C143" s="119"/>
      <c r="D143" s="119"/>
      <c r="E143" s="119"/>
      <c r="F143" s="119"/>
      <c r="G143" s="119"/>
      <c r="H143" s="119"/>
      <c r="I143" s="143"/>
      <c r="J143" s="143"/>
      <c r="K143" s="119"/>
      <c r="L143" s="119"/>
      <c r="M143" s="119"/>
      <c r="N143" s="119"/>
      <c r="O143" s="119"/>
      <c r="P143" s="119"/>
    </row>
    <row r="144" spans="3:16" x14ac:dyDescent="0.2">
      <c r="C144" s="119"/>
      <c r="D144" s="119"/>
      <c r="E144" s="119"/>
      <c r="F144" s="119"/>
      <c r="G144" s="119"/>
      <c r="H144" s="119"/>
      <c r="I144" s="143"/>
      <c r="J144" s="143"/>
      <c r="K144" s="119"/>
      <c r="L144" s="119"/>
      <c r="M144" s="119"/>
      <c r="N144" s="119"/>
      <c r="O144" s="119"/>
      <c r="P144" s="119"/>
    </row>
    <row r="145" spans="3:16" x14ac:dyDescent="0.2">
      <c r="C145" s="119"/>
      <c r="D145" s="119"/>
      <c r="E145" s="119"/>
      <c r="F145" s="119"/>
      <c r="G145" s="119"/>
      <c r="H145" s="119"/>
      <c r="I145" s="143"/>
      <c r="J145" s="143"/>
      <c r="K145" s="119"/>
      <c r="L145" s="119"/>
      <c r="M145" s="119"/>
      <c r="N145" s="119"/>
      <c r="O145" s="119"/>
      <c r="P145" s="119"/>
    </row>
    <row r="146" spans="3:16" x14ac:dyDescent="0.2">
      <c r="C146" s="119"/>
      <c r="D146" s="119"/>
      <c r="E146" s="119"/>
      <c r="F146" s="119"/>
      <c r="G146" s="119"/>
      <c r="H146" s="119"/>
      <c r="I146" s="143"/>
      <c r="J146" s="143"/>
      <c r="K146" s="119"/>
      <c r="L146" s="119"/>
      <c r="M146" s="119"/>
      <c r="N146" s="119"/>
      <c r="O146" s="119"/>
      <c r="P146" s="119"/>
    </row>
    <row r="147" spans="3:16" x14ac:dyDescent="0.2">
      <c r="C147" s="119"/>
      <c r="D147" s="119"/>
      <c r="E147" s="119"/>
      <c r="F147" s="119"/>
      <c r="G147" s="119"/>
      <c r="H147" s="119"/>
      <c r="I147" s="143"/>
      <c r="J147" s="143"/>
      <c r="K147" s="119"/>
      <c r="L147" s="119"/>
      <c r="M147" s="119"/>
      <c r="N147" s="119"/>
      <c r="O147" s="119"/>
      <c r="P147" s="119"/>
    </row>
    <row r="148" spans="3:16" x14ac:dyDescent="0.2">
      <c r="C148" s="119"/>
      <c r="D148" s="119"/>
      <c r="E148" s="119"/>
      <c r="F148" s="119"/>
      <c r="G148" s="119"/>
      <c r="H148" s="119"/>
      <c r="I148" s="143"/>
      <c r="J148" s="143"/>
      <c r="K148" s="119"/>
      <c r="L148" s="119"/>
      <c r="M148" s="119"/>
      <c r="N148" s="119"/>
      <c r="O148" s="119"/>
      <c r="P148" s="119"/>
    </row>
    <row r="149" spans="3:16" x14ac:dyDescent="0.2">
      <c r="C149" s="119"/>
      <c r="D149" s="119"/>
      <c r="E149" s="119"/>
      <c r="F149" s="119"/>
      <c r="G149" s="119"/>
      <c r="H149" s="119"/>
      <c r="I149" s="143"/>
      <c r="J149" s="143"/>
      <c r="K149" s="119"/>
      <c r="L149" s="119"/>
      <c r="M149" s="119"/>
      <c r="N149" s="119"/>
      <c r="O149" s="119"/>
      <c r="P149" s="119"/>
    </row>
    <row r="150" spans="3:16" x14ac:dyDescent="0.2">
      <c r="C150" s="119"/>
      <c r="D150" s="119"/>
      <c r="E150" s="119"/>
      <c r="F150" s="119"/>
      <c r="G150" s="119"/>
      <c r="H150" s="119"/>
      <c r="I150" s="143"/>
      <c r="J150" s="143"/>
      <c r="K150" s="119"/>
      <c r="L150" s="119"/>
      <c r="M150" s="119"/>
      <c r="N150" s="119"/>
      <c r="O150" s="119"/>
      <c r="P150" s="119"/>
    </row>
    <row r="151" spans="3:16" x14ac:dyDescent="0.2">
      <c r="C151" s="119"/>
      <c r="D151" s="119"/>
      <c r="E151" s="119"/>
      <c r="F151" s="119"/>
      <c r="G151" s="119"/>
      <c r="H151" s="119"/>
      <c r="I151" s="143"/>
      <c r="J151" s="143"/>
      <c r="K151" s="119"/>
      <c r="L151" s="119"/>
      <c r="M151" s="119"/>
      <c r="N151" s="119"/>
      <c r="O151" s="119"/>
      <c r="P151" s="119"/>
    </row>
    <row r="152" spans="3:16" x14ac:dyDescent="0.2">
      <c r="C152" s="119"/>
      <c r="D152" s="119"/>
      <c r="E152" s="119"/>
      <c r="F152" s="119"/>
      <c r="G152" s="119"/>
      <c r="H152" s="119"/>
      <c r="I152" s="143"/>
      <c r="J152" s="143"/>
      <c r="K152" s="119"/>
      <c r="L152" s="119"/>
      <c r="M152" s="119"/>
      <c r="N152" s="119"/>
      <c r="O152" s="119"/>
      <c r="P152" s="119"/>
    </row>
    <row r="153" spans="3:16" x14ac:dyDescent="0.2">
      <c r="C153" s="119"/>
      <c r="D153" s="119"/>
      <c r="E153" s="119"/>
      <c r="F153" s="119"/>
      <c r="G153" s="119"/>
      <c r="H153" s="119"/>
      <c r="I153" s="143"/>
      <c r="J153" s="143"/>
      <c r="K153" s="119"/>
      <c r="L153" s="119"/>
      <c r="M153" s="119"/>
      <c r="N153" s="119"/>
      <c r="O153" s="119"/>
      <c r="P153" s="119"/>
    </row>
    <row r="154" spans="3:16" x14ac:dyDescent="0.2">
      <c r="C154" s="119"/>
      <c r="D154" s="119"/>
      <c r="E154" s="119"/>
      <c r="F154" s="119"/>
      <c r="G154" s="119"/>
      <c r="H154" s="119"/>
      <c r="I154" s="143"/>
      <c r="J154" s="143"/>
      <c r="K154" s="119"/>
      <c r="L154" s="119"/>
      <c r="M154" s="119"/>
      <c r="N154" s="119"/>
      <c r="O154" s="119"/>
      <c r="P154" s="119"/>
    </row>
    <row r="155" spans="3:16" x14ac:dyDescent="0.2">
      <c r="C155" s="119"/>
      <c r="D155" s="119"/>
      <c r="E155" s="119"/>
      <c r="F155" s="119"/>
      <c r="G155" s="119"/>
      <c r="H155" s="119"/>
      <c r="I155" s="143"/>
      <c r="J155" s="143"/>
      <c r="K155" s="119"/>
      <c r="L155" s="119"/>
      <c r="M155" s="119"/>
      <c r="N155" s="119"/>
      <c r="O155" s="119"/>
      <c r="P155" s="119"/>
    </row>
    <row r="156" spans="3:16" x14ac:dyDescent="0.2">
      <c r="C156" s="119"/>
      <c r="D156" s="119"/>
      <c r="E156" s="119"/>
      <c r="F156" s="119"/>
      <c r="G156" s="119"/>
      <c r="H156" s="119"/>
      <c r="I156" s="143"/>
      <c r="J156" s="143"/>
      <c r="K156" s="119"/>
      <c r="L156" s="119"/>
      <c r="M156" s="119"/>
      <c r="N156" s="119"/>
      <c r="O156" s="119"/>
      <c r="P156" s="119"/>
    </row>
    <row r="157" spans="3:16" x14ac:dyDescent="0.2">
      <c r="C157" s="119"/>
      <c r="D157" s="119"/>
      <c r="E157" s="119"/>
      <c r="F157" s="119"/>
      <c r="G157" s="119"/>
      <c r="H157" s="119"/>
      <c r="I157" s="143"/>
      <c r="J157" s="143"/>
      <c r="K157" s="119"/>
      <c r="L157" s="119"/>
      <c r="M157" s="119"/>
      <c r="N157" s="119"/>
      <c r="O157" s="119"/>
      <c r="P157" s="119"/>
    </row>
    <row r="158" spans="3:16" x14ac:dyDescent="0.2">
      <c r="C158" s="119"/>
      <c r="D158" s="119"/>
      <c r="E158" s="119"/>
      <c r="F158" s="119"/>
      <c r="G158" s="119"/>
      <c r="H158" s="119"/>
      <c r="I158" s="143"/>
      <c r="J158" s="143"/>
      <c r="K158" s="119"/>
      <c r="L158" s="119"/>
      <c r="M158" s="119"/>
      <c r="N158" s="119"/>
      <c r="O158" s="119"/>
      <c r="P158" s="119"/>
    </row>
    <row r="159" spans="3:16" x14ac:dyDescent="0.2">
      <c r="C159" s="119"/>
      <c r="D159" s="119"/>
      <c r="E159" s="119"/>
      <c r="F159" s="119"/>
      <c r="G159" s="119"/>
      <c r="H159" s="119"/>
      <c r="I159" s="143"/>
      <c r="J159" s="143"/>
      <c r="K159" s="119"/>
      <c r="L159" s="119"/>
      <c r="M159" s="119"/>
      <c r="N159" s="119"/>
      <c r="O159" s="119"/>
      <c r="P159" s="119"/>
    </row>
    <row r="160" spans="3:16" x14ac:dyDescent="0.2">
      <c r="C160" s="119"/>
      <c r="D160" s="119"/>
      <c r="E160" s="119"/>
      <c r="F160" s="119"/>
      <c r="G160" s="119"/>
      <c r="H160" s="119"/>
      <c r="I160" s="143"/>
      <c r="J160" s="143"/>
      <c r="K160" s="119"/>
      <c r="L160" s="119"/>
      <c r="M160" s="119"/>
      <c r="N160" s="119"/>
      <c r="O160" s="119"/>
      <c r="P160" s="119"/>
    </row>
    <row r="161" spans="3:16" x14ac:dyDescent="0.2">
      <c r="C161" s="119"/>
      <c r="D161" s="119"/>
      <c r="E161" s="119"/>
      <c r="F161" s="119"/>
      <c r="G161" s="119"/>
      <c r="H161" s="119"/>
      <c r="I161" s="143"/>
      <c r="J161" s="143"/>
      <c r="K161" s="119"/>
      <c r="L161" s="119"/>
      <c r="M161" s="119"/>
      <c r="N161" s="119"/>
      <c r="O161" s="119"/>
      <c r="P161" s="119"/>
    </row>
    <row r="162" spans="3:16" x14ac:dyDescent="0.2">
      <c r="C162" s="119"/>
      <c r="D162" s="119"/>
      <c r="E162" s="119"/>
      <c r="F162" s="119"/>
      <c r="G162" s="119"/>
      <c r="H162" s="119"/>
      <c r="I162" s="143"/>
      <c r="J162" s="143"/>
      <c r="K162" s="119"/>
      <c r="L162" s="119"/>
      <c r="M162" s="119"/>
      <c r="N162" s="119"/>
      <c r="O162" s="119"/>
      <c r="P162" s="119"/>
    </row>
    <row r="163" spans="3:16" x14ac:dyDescent="0.2">
      <c r="C163" s="119"/>
      <c r="D163" s="119"/>
      <c r="E163" s="119"/>
      <c r="F163" s="119"/>
      <c r="G163" s="119"/>
      <c r="H163" s="119"/>
      <c r="I163" s="143"/>
      <c r="J163" s="143"/>
      <c r="K163" s="119"/>
      <c r="L163" s="119"/>
      <c r="M163" s="119"/>
      <c r="N163" s="119"/>
      <c r="O163" s="119"/>
      <c r="P163" s="119"/>
    </row>
    <row r="164" spans="3:16" x14ac:dyDescent="0.2">
      <c r="C164" s="119"/>
      <c r="D164" s="119"/>
      <c r="E164" s="119"/>
      <c r="F164" s="119"/>
      <c r="G164" s="119"/>
      <c r="H164" s="119"/>
      <c r="I164" s="143"/>
      <c r="J164" s="143"/>
      <c r="K164" s="119"/>
      <c r="L164" s="119"/>
      <c r="M164" s="119"/>
      <c r="N164" s="119"/>
      <c r="O164" s="119"/>
      <c r="P164" s="119"/>
    </row>
    <row r="165" spans="3:16" x14ac:dyDescent="0.2">
      <c r="C165" s="119"/>
      <c r="D165" s="119"/>
      <c r="E165" s="119"/>
      <c r="F165" s="119"/>
      <c r="G165" s="119"/>
      <c r="H165" s="119"/>
      <c r="I165" s="143"/>
      <c r="J165" s="143"/>
      <c r="K165" s="119"/>
      <c r="L165" s="119"/>
      <c r="M165" s="119"/>
      <c r="N165" s="119"/>
      <c r="O165" s="119"/>
      <c r="P165" s="119"/>
    </row>
    <row r="166" spans="3:16" x14ac:dyDescent="0.2">
      <c r="C166" s="119"/>
      <c r="D166" s="119"/>
      <c r="E166" s="119"/>
      <c r="F166" s="119"/>
      <c r="G166" s="119"/>
      <c r="H166" s="119"/>
      <c r="I166" s="143"/>
      <c r="J166" s="143"/>
      <c r="K166" s="119"/>
      <c r="L166" s="119"/>
      <c r="M166" s="119"/>
      <c r="N166" s="119"/>
      <c r="O166" s="119"/>
      <c r="P166" s="119"/>
    </row>
    <row r="167" spans="3:16" x14ac:dyDescent="0.2">
      <c r="C167" s="119"/>
      <c r="D167" s="119"/>
      <c r="E167" s="119"/>
      <c r="F167" s="119"/>
      <c r="G167" s="119"/>
      <c r="H167" s="119"/>
      <c r="I167" s="143"/>
      <c r="J167" s="143"/>
      <c r="K167" s="119"/>
      <c r="L167" s="119"/>
      <c r="M167" s="119"/>
      <c r="N167" s="119"/>
      <c r="O167" s="119"/>
      <c r="P167" s="119"/>
    </row>
    <row r="168" spans="3:16" x14ac:dyDescent="0.2">
      <c r="C168" s="119"/>
      <c r="D168" s="119"/>
      <c r="E168" s="119"/>
      <c r="F168" s="119"/>
      <c r="G168" s="119"/>
      <c r="H168" s="119"/>
      <c r="I168" s="143"/>
      <c r="J168" s="143"/>
      <c r="K168" s="119"/>
      <c r="L168" s="119"/>
      <c r="M168" s="119"/>
      <c r="N168" s="119"/>
      <c r="O168" s="119"/>
      <c r="P168" s="119"/>
    </row>
    <row r="169" spans="3:16" x14ac:dyDescent="0.2">
      <c r="C169" s="119"/>
      <c r="D169" s="119"/>
      <c r="E169" s="119"/>
      <c r="F169" s="119"/>
      <c r="G169" s="119"/>
      <c r="H169" s="119"/>
      <c r="I169" s="143"/>
      <c r="J169" s="143"/>
      <c r="K169" s="119"/>
      <c r="L169" s="119"/>
      <c r="M169" s="119"/>
      <c r="N169" s="119"/>
      <c r="O169" s="119"/>
      <c r="P169" s="119"/>
    </row>
    <row r="170" spans="3:16" x14ac:dyDescent="0.2">
      <c r="C170" s="119"/>
      <c r="D170" s="119"/>
      <c r="E170" s="119"/>
      <c r="F170" s="119"/>
      <c r="G170" s="119"/>
      <c r="H170" s="119"/>
      <c r="I170" s="143"/>
      <c r="J170" s="143"/>
      <c r="K170" s="119"/>
      <c r="L170" s="119"/>
      <c r="M170" s="119"/>
      <c r="N170" s="119"/>
      <c r="O170" s="119"/>
      <c r="P170" s="119"/>
    </row>
    <row r="171" spans="3:16" x14ac:dyDescent="0.2">
      <c r="C171" s="119"/>
      <c r="D171" s="119"/>
      <c r="E171" s="119"/>
      <c r="F171" s="119"/>
      <c r="G171" s="119"/>
      <c r="H171" s="119"/>
      <c r="I171" s="143"/>
      <c r="J171" s="143"/>
      <c r="K171" s="119"/>
      <c r="L171" s="119"/>
      <c r="M171" s="119"/>
      <c r="N171" s="119"/>
      <c r="O171" s="119"/>
      <c r="P171" s="119"/>
    </row>
    <row r="172" spans="3:16" x14ac:dyDescent="0.2">
      <c r="C172" s="119"/>
      <c r="D172" s="119"/>
      <c r="E172" s="119"/>
      <c r="F172" s="119"/>
      <c r="G172" s="119"/>
      <c r="H172" s="119"/>
      <c r="I172" s="143"/>
      <c r="J172" s="143"/>
      <c r="K172" s="119"/>
      <c r="L172" s="119"/>
      <c r="M172" s="119"/>
      <c r="N172" s="119"/>
      <c r="O172" s="119"/>
      <c r="P172" s="119"/>
    </row>
    <row r="173" spans="3:16" x14ac:dyDescent="0.2">
      <c r="C173" s="119"/>
      <c r="D173" s="119"/>
      <c r="E173" s="119"/>
      <c r="F173" s="119"/>
      <c r="G173" s="119"/>
      <c r="H173" s="119"/>
      <c r="I173" s="143"/>
      <c r="J173" s="143"/>
      <c r="K173" s="119"/>
      <c r="L173" s="119"/>
      <c r="M173" s="119"/>
      <c r="N173" s="119"/>
      <c r="O173" s="119"/>
      <c r="P173" s="119"/>
    </row>
    <row r="174" spans="3:16" x14ac:dyDescent="0.2">
      <c r="C174" s="119"/>
      <c r="D174" s="119"/>
      <c r="E174" s="119"/>
      <c r="F174" s="119"/>
      <c r="G174" s="119"/>
      <c r="H174" s="119"/>
      <c r="I174" s="143"/>
      <c r="J174" s="143"/>
      <c r="K174" s="119"/>
      <c r="L174" s="119"/>
      <c r="M174" s="119"/>
      <c r="N174" s="119"/>
      <c r="O174" s="119"/>
      <c r="P174" s="119"/>
    </row>
    <row r="175" spans="3:16" x14ac:dyDescent="0.2">
      <c r="C175" s="119"/>
      <c r="D175" s="119"/>
      <c r="E175" s="119"/>
      <c r="F175" s="119"/>
      <c r="G175" s="119"/>
      <c r="H175" s="119"/>
      <c r="I175" s="143"/>
      <c r="J175" s="143"/>
      <c r="K175" s="119"/>
      <c r="L175" s="119"/>
      <c r="M175" s="119"/>
      <c r="N175" s="119"/>
      <c r="O175" s="119"/>
      <c r="P175" s="119"/>
    </row>
    <row r="176" spans="3:16" x14ac:dyDescent="0.2">
      <c r="C176" s="119"/>
      <c r="D176" s="119"/>
      <c r="E176" s="119"/>
      <c r="F176" s="119"/>
      <c r="G176" s="119"/>
      <c r="H176" s="119"/>
      <c r="I176" s="143"/>
      <c r="J176" s="143"/>
      <c r="K176" s="119"/>
      <c r="L176" s="119"/>
      <c r="M176" s="119"/>
      <c r="N176" s="119"/>
      <c r="O176" s="119"/>
      <c r="P176" s="119"/>
    </row>
    <row r="177" spans="3:16" x14ac:dyDescent="0.2">
      <c r="C177" s="119"/>
      <c r="D177" s="119"/>
      <c r="E177" s="119"/>
      <c r="F177" s="119"/>
      <c r="G177" s="119"/>
      <c r="H177" s="119"/>
      <c r="I177" s="143"/>
      <c r="J177" s="143"/>
      <c r="K177" s="119"/>
      <c r="L177" s="119"/>
      <c r="M177" s="119"/>
      <c r="N177" s="119"/>
      <c r="O177" s="119"/>
      <c r="P177" s="119"/>
    </row>
    <row r="178" spans="3:16" x14ac:dyDescent="0.2">
      <c r="C178" s="119"/>
      <c r="D178" s="119"/>
      <c r="E178" s="119"/>
      <c r="F178" s="119"/>
      <c r="G178" s="119"/>
      <c r="H178" s="119"/>
      <c r="I178" s="143"/>
      <c r="J178" s="143"/>
      <c r="K178" s="119"/>
      <c r="L178" s="119"/>
      <c r="M178" s="119"/>
      <c r="N178" s="119"/>
      <c r="O178" s="119"/>
      <c r="P178" s="119"/>
    </row>
    <row r="179" spans="3:16" x14ac:dyDescent="0.2">
      <c r="C179" s="119"/>
      <c r="D179" s="119"/>
      <c r="E179" s="119"/>
      <c r="F179" s="119"/>
      <c r="G179" s="119"/>
      <c r="H179" s="119"/>
      <c r="I179" s="143"/>
      <c r="J179" s="143"/>
      <c r="K179" s="119"/>
      <c r="L179" s="119"/>
      <c r="M179" s="119"/>
      <c r="N179" s="119"/>
      <c r="O179" s="119"/>
      <c r="P179" s="119"/>
    </row>
    <row r="180" spans="3:16" x14ac:dyDescent="0.2">
      <c r="C180" s="119"/>
      <c r="D180" s="119"/>
      <c r="E180" s="119"/>
      <c r="F180" s="119"/>
      <c r="G180" s="119"/>
      <c r="H180" s="119"/>
      <c r="I180" s="143"/>
      <c r="J180" s="143"/>
      <c r="K180" s="119"/>
      <c r="L180" s="119"/>
      <c r="M180" s="119"/>
      <c r="N180" s="119"/>
      <c r="O180" s="119"/>
      <c r="P180" s="119"/>
    </row>
    <row r="181" spans="3:16" x14ac:dyDescent="0.2">
      <c r="C181" s="119"/>
      <c r="D181" s="119"/>
      <c r="E181" s="119"/>
      <c r="F181" s="119"/>
      <c r="G181" s="119"/>
      <c r="H181" s="119"/>
      <c r="I181" s="143"/>
      <c r="J181" s="143"/>
      <c r="K181" s="119"/>
      <c r="L181" s="119"/>
      <c r="M181" s="119"/>
      <c r="N181" s="119"/>
      <c r="O181" s="119"/>
      <c r="P181" s="119"/>
    </row>
    <row r="182" spans="3:16" x14ac:dyDescent="0.2">
      <c r="C182" s="119"/>
      <c r="D182" s="119"/>
      <c r="E182" s="119"/>
      <c r="F182" s="119"/>
      <c r="G182" s="119"/>
      <c r="H182" s="119"/>
      <c r="I182" s="143"/>
      <c r="J182" s="143"/>
      <c r="K182" s="119"/>
      <c r="L182" s="119"/>
      <c r="M182" s="119"/>
      <c r="N182" s="119"/>
      <c r="O182" s="119"/>
      <c r="P182" s="119"/>
    </row>
    <row r="183" spans="3:16" x14ac:dyDescent="0.2">
      <c r="C183" s="119"/>
      <c r="D183" s="119"/>
      <c r="E183" s="119"/>
      <c r="F183" s="119"/>
      <c r="G183" s="119"/>
      <c r="H183" s="119"/>
      <c r="I183" s="143"/>
      <c r="J183" s="143"/>
      <c r="K183" s="119"/>
      <c r="L183" s="119"/>
      <c r="M183" s="119"/>
      <c r="N183" s="119"/>
      <c r="O183" s="119"/>
      <c r="P183" s="119"/>
    </row>
    <row r="184" spans="3:16" x14ac:dyDescent="0.2">
      <c r="C184" s="119"/>
      <c r="D184" s="119"/>
      <c r="E184" s="119"/>
      <c r="F184" s="119"/>
      <c r="G184" s="119"/>
      <c r="H184" s="119"/>
      <c r="I184" s="143"/>
      <c r="J184" s="143"/>
      <c r="K184" s="119"/>
      <c r="L184" s="119"/>
      <c r="M184" s="119"/>
      <c r="N184" s="119"/>
      <c r="O184" s="119"/>
      <c r="P184" s="119"/>
    </row>
    <row r="185" spans="3:16" x14ac:dyDescent="0.2">
      <c r="C185" s="119"/>
      <c r="D185" s="119"/>
      <c r="E185" s="119"/>
      <c r="F185" s="119"/>
      <c r="G185" s="119"/>
      <c r="H185" s="119"/>
      <c r="I185" s="143"/>
      <c r="J185" s="143"/>
      <c r="K185" s="119"/>
      <c r="L185" s="119"/>
      <c r="M185" s="119"/>
      <c r="N185" s="119"/>
      <c r="O185" s="119"/>
      <c r="P185" s="119"/>
    </row>
    <row r="186" spans="3:16" x14ac:dyDescent="0.2">
      <c r="C186" s="119"/>
      <c r="D186" s="119"/>
      <c r="E186" s="119"/>
      <c r="F186" s="119"/>
      <c r="G186" s="119"/>
      <c r="H186" s="119"/>
      <c r="I186" s="143"/>
      <c r="J186" s="143"/>
      <c r="K186" s="119"/>
      <c r="L186" s="119"/>
      <c r="M186" s="119"/>
      <c r="N186" s="119"/>
      <c r="O186" s="119"/>
      <c r="P186" s="119"/>
    </row>
    <row r="187" spans="3:16" x14ac:dyDescent="0.2">
      <c r="C187" s="119"/>
      <c r="D187" s="119"/>
      <c r="E187" s="119"/>
      <c r="F187" s="119"/>
      <c r="G187" s="119"/>
      <c r="H187" s="119"/>
      <c r="I187" s="143"/>
      <c r="J187" s="143"/>
      <c r="K187" s="119"/>
      <c r="L187" s="119"/>
      <c r="M187" s="119"/>
      <c r="N187" s="119"/>
      <c r="O187" s="119"/>
      <c r="P187" s="119"/>
    </row>
    <row r="188" spans="3:16" x14ac:dyDescent="0.2">
      <c r="C188" s="119"/>
      <c r="D188" s="119"/>
      <c r="E188" s="119"/>
      <c r="F188" s="119"/>
      <c r="G188" s="119"/>
      <c r="H188" s="119"/>
      <c r="I188" s="143"/>
      <c r="J188" s="143"/>
      <c r="K188" s="119"/>
      <c r="L188" s="119"/>
      <c r="M188" s="119"/>
      <c r="N188" s="119"/>
      <c r="O188" s="119"/>
      <c r="P188" s="119"/>
    </row>
    <row r="189" spans="3:16" x14ac:dyDescent="0.2">
      <c r="C189" s="119"/>
      <c r="D189" s="119"/>
      <c r="E189" s="119"/>
      <c r="F189" s="119"/>
      <c r="G189" s="119"/>
      <c r="H189" s="119"/>
      <c r="I189" s="143"/>
      <c r="J189" s="143"/>
      <c r="K189" s="119"/>
      <c r="L189" s="119"/>
      <c r="M189" s="119"/>
      <c r="N189" s="119"/>
      <c r="O189" s="119"/>
      <c r="P189" s="119"/>
    </row>
    <row r="190" spans="3:16" x14ac:dyDescent="0.2">
      <c r="C190" s="119"/>
      <c r="D190" s="119"/>
      <c r="E190" s="119"/>
      <c r="F190" s="119"/>
      <c r="G190" s="119"/>
      <c r="H190" s="119"/>
      <c r="I190" s="143"/>
      <c r="J190" s="143"/>
      <c r="K190" s="119"/>
      <c r="L190" s="119"/>
      <c r="M190" s="119"/>
      <c r="N190" s="119"/>
      <c r="O190" s="119"/>
      <c r="P190" s="119"/>
    </row>
    <row r="191" spans="3:16" x14ac:dyDescent="0.2">
      <c r="C191" s="119"/>
      <c r="D191" s="119"/>
      <c r="E191" s="119"/>
      <c r="F191" s="119"/>
      <c r="G191" s="119"/>
      <c r="H191" s="119"/>
      <c r="I191" s="143"/>
      <c r="J191" s="143"/>
      <c r="K191" s="119"/>
      <c r="L191" s="119"/>
      <c r="M191" s="119"/>
      <c r="N191" s="119"/>
      <c r="O191" s="119"/>
      <c r="P191" s="119"/>
    </row>
    <row r="192" spans="3:16" x14ac:dyDescent="0.2">
      <c r="C192" s="119"/>
      <c r="D192" s="119"/>
      <c r="E192" s="119"/>
      <c r="F192" s="119"/>
      <c r="G192" s="119"/>
      <c r="H192" s="119"/>
      <c r="I192" s="143"/>
      <c r="J192" s="143"/>
      <c r="K192" s="119"/>
      <c r="L192" s="119"/>
      <c r="M192" s="119"/>
      <c r="N192" s="119"/>
      <c r="O192" s="119"/>
      <c r="P192" s="119"/>
    </row>
    <row r="193" spans="3:16" x14ac:dyDescent="0.2">
      <c r="C193" s="119"/>
      <c r="D193" s="119"/>
      <c r="E193" s="119"/>
      <c r="F193" s="119"/>
      <c r="G193" s="119"/>
      <c r="H193" s="119"/>
      <c r="I193" s="143"/>
      <c r="J193" s="143"/>
      <c r="K193" s="119"/>
      <c r="L193" s="119"/>
      <c r="M193" s="119"/>
      <c r="N193" s="119"/>
      <c r="O193" s="119"/>
      <c r="P193" s="119"/>
    </row>
    <row r="194" spans="3:16" x14ac:dyDescent="0.2">
      <c r="C194" s="119"/>
      <c r="D194" s="119"/>
      <c r="E194" s="119"/>
      <c r="F194" s="119"/>
      <c r="G194" s="119"/>
      <c r="H194" s="119"/>
      <c r="I194" s="143"/>
      <c r="J194" s="143"/>
      <c r="K194" s="119"/>
      <c r="L194" s="119"/>
      <c r="M194" s="119"/>
      <c r="N194" s="119"/>
      <c r="O194" s="119"/>
      <c r="P194" s="119"/>
    </row>
    <row r="195" spans="3:16" x14ac:dyDescent="0.2">
      <c r="C195" s="119"/>
      <c r="D195" s="119"/>
      <c r="E195" s="119"/>
      <c r="F195" s="119"/>
      <c r="G195" s="119"/>
      <c r="H195" s="119"/>
      <c r="I195" s="143"/>
      <c r="J195" s="143"/>
      <c r="K195" s="119"/>
      <c r="L195" s="119"/>
      <c r="M195" s="119"/>
      <c r="N195" s="119"/>
      <c r="O195" s="119"/>
      <c r="P195" s="119"/>
    </row>
    <row r="196" spans="3:16" x14ac:dyDescent="0.2">
      <c r="C196" s="119"/>
      <c r="D196" s="119"/>
      <c r="E196" s="119"/>
      <c r="F196" s="119"/>
      <c r="G196" s="119"/>
      <c r="H196" s="119"/>
      <c r="I196" s="143"/>
      <c r="J196" s="143"/>
      <c r="K196" s="119"/>
      <c r="L196" s="119"/>
      <c r="M196" s="119"/>
      <c r="N196" s="119"/>
      <c r="O196" s="119"/>
      <c r="P196" s="119"/>
    </row>
    <row r="197" spans="3:16" x14ac:dyDescent="0.2">
      <c r="C197" s="119"/>
      <c r="D197" s="119"/>
      <c r="E197" s="119"/>
      <c r="F197" s="119"/>
      <c r="G197" s="119"/>
      <c r="H197" s="119"/>
      <c r="I197" s="143"/>
      <c r="J197" s="143"/>
      <c r="K197" s="119"/>
      <c r="L197" s="119"/>
      <c r="M197" s="119"/>
      <c r="N197" s="119"/>
      <c r="O197" s="119"/>
      <c r="P197" s="119"/>
    </row>
    <row r="198" spans="3:16" x14ac:dyDescent="0.2">
      <c r="C198" s="119"/>
      <c r="D198" s="119"/>
      <c r="E198" s="119"/>
      <c r="F198" s="119"/>
      <c r="G198" s="119"/>
      <c r="H198" s="119"/>
      <c r="I198" s="143"/>
      <c r="J198" s="143"/>
      <c r="K198" s="119"/>
      <c r="L198" s="119"/>
      <c r="M198" s="119"/>
      <c r="N198" s="119"/>
      <c r="O198" s="119"/>
      <c r="P198" s="119"/>
    </row>
    <row r="199" spans="3:16" x14ac:dyDescent="0.2">
      <c r="C199" s="119"/>
      <c r="D199" s="119"/>
      <c r="E199" s="119"/>
      <c r="F199" s="119"/>
      <c r="G199" s="119"/>
      <c r="H199" s="119"/>
      <c r="I199" s="143"/>
      <c r="J199" s="143"/>
      <c r="K199" s="119"/>
      <c r="L199" s="119"/>
      <c r="M199" s="119"/>
      <c r="N199" s="119"/>
      <c r="O199" s="119"/>
      <c r="P199" s="119"/>
    </row>
    <row r="200" spans="3:16" x14ac:dyDescent="0.2">
      <c r="C200" s="119"/>
      <c r="D200" s="119"/>
      <c r="E200" s="119"/>
      <c r="F200" s="119"/>
      <c r="G200" s="119"/>
      <c r="H200" s="119"/>
      <c r="I200" s="143"/>
      <c r="J200" s="143"/>
      <c r="K200" s="119"/>
      <c r="L200" s="119"/>
      <c r="M200" s="119"/>
      <c r="N200" s="119"/>
      <c r="O200" s="119"/>
      <c r="P200" s="119"/>
    </row>
    <row r="201" spans="3:16" x14ac:dyDescent="0.2">
      <c r="C201" s="119"/>
      <c r="D201" s="119"/>
      <c r="E201" s="119"/>
      <c r="F201" s="119"/>
      <c r="G201" s="119"/>
      <c r="H201" s="119"/>
      <c r="I201" s="143"/>
      <c r="J201" s="143"/>
      <c r="K201" s="119"/>
      <c r="L201" s="119"/>
      <c r="M201" s="119"/>
      <c r="N201" s="119"/>
      <c r="O201" s="119"/>
      <c r="P201" s="119"/>
    </row>
    <row r="202" spans="3:16" x14ac:dyDescent="0.2">
      <c r="C202" s="119"/>
      <c r="D202" s="119"/>
      <c r="E202" s="119"/>
      <c r="F202" s="119"/>
      <c r="G202" s="119"/>
      <c r="H202" s="119"/>
      <c r="I202" s="143"/>
      <c r="J202" s="143"/>
      <c r="K202" s="119"/>
      <c r="L202" s="119"/>
      <c r="M202" s="119"/>
      <c r="N202" s="119"/>
      <c r="O202" s="119"/>
      <c r="P202" s="119"/>
    </row>
    <row r="203" spans="3:16" x14ac:dyDescent="0.2">
      <c r="C203" s="119"/>
      <c r="D203" s="119"/>
      <c r="E203" s="119"/>
      <c r="F203" s="119"/>
      <c r="G203" s="119"/>
      <c r="H203" s="119"/>
      <c r="I203" s="143"/>
      <c r="J203" s="143"/>
      <c r="K203" s="119"/>
      <c r="L203" s="119"/>
      <c r="M203" s="119"/>
      <c r="N203" s="119"/>
      <c r="O203" s="119"/>
      <c r="P203" s="119"/>
    </row>
    <row r="204" spans="3:16" x14ac:dyDescent="0.2">
      <c r="C204" s="119"/>
      <c r="D204" s="119"/>
      <c r="E204" s="119"/>
      <c r="F204" s="119"/>
      <c r="G204" s="119"/>
      <c r="H204" s="119"/>
      <c r="I204" s="143"/>
      <c r="J204" s="143"/>
      <c r="K204" s="119"/>
      <c r="L204" s="119"/>
      <c r="M204" s="119"/>
      <c r="N204" s="119"/>
      <c r="O204" s="119"/>
      <c r="P204" s="119"/>
    </row>
    <row r="205" spans="3:16" x14ac:dyDescent="0.2">
      <c r="C205" s="119"/>
      <c r="D205" s="119"/>
      <c r="E205" s="119"/>
      <c r="F205" s="119"/>
      <c r="G205" s="119"/>
      <c r="H205" s="119"/>
      <c r="I205" s="143"/>
      <c r="J205" s="143"/>
      <c r="K205" s="119"/>
      <c r="L205" s="119"/>
      <c r="M205" s="119"/>
      <c r="N205" s="119"/>
      <c r="O205" s="119"/>
      <c r="P205" s="119"/>
    </row>
    <row r="206" spans="3:16" x14ac:dyDescent="0.2">
      <c r="C206" s="119"/>
      <c r="D206" s="119"/>
      <c r="E206" s="119"/>
      <c r="F206" s="119"/>
      <c r="G206" s="119"/>
      <c r="H206" s="119"/>
      <c r="I206" s="143"/>
      <c r="J206" s="143"/>
      <c r="K206" s="119"/>
      <c r="L206" s="119"/>
      <c r="M206" s="119"/>
      <c r="N206" s="119"/>
      <c r="O206" s="119"/>
      <c r="P206" s="119"/>
    </row>
    <row r="207" spans="3:16" x14ac:dyDescent="0.2">
      <c r="C207" s="119"/>
      <c r="D207" s="119"/>
      <c r="E207" s="119"/>
      <c r="F207" s="119"/>
      <c r="G207" s="119"/>
      <c r="H207" s="119"/>
      <c r="I207" s="143"/>
      <c r="J207" s="143"/>
      <c r="K207" s="119"/>
      <c r="L207" s="119"/>
      <c r="M207" s="119"/>
      <c r="N207" s="119"/>
      <c r="O207" s="119"/>
      <c r="P207" s="119"/>
    </row>
    <row r="208" spans="3:16" x14ac:dyDescent="0.2">
      <c r="C208" s="119"/>
      <c r="D208" s="119"/>
      <c r="E208" s="119"/>
      <c r="F208" s="119"/>
      <c r="G208" s="119"/>
      <c r="H208" s="119"/>
      <c r="I208" s="143"/>
      <c r="J208" s="143"/>
      <c r="K208" s="119"/>
      <c r="L208" s="119"/>
      <c r="M208" s="119"/>
      <c r="N208" s="119"/>
      <c r="O208" s="119"/>
      <c r="P208" s="119"/>
    </row>
    <row r="209" spans="3:16" x14ac:dyDescent="0.2">
      <c r="C209" s="119"/>
      <c r="D209" s="119"/>
      <c r="E209" s="119"/>
      <c r="F209" s="119"/>
      <c r="G209" s="119"/>
      <c r="H209" s="119"/>
      <c r="I209" s="143"/>
      <c r="J209" s="143"/>
      <c r="K209" s="119"/>
      <c r="L209" s="119"/>
      <c r="M209" s="119"/>
      <c r="N209" s="119"/>
      <c r="O209" s="119"/>
      <c r="P209" s="119"/>
    </row>
    <row r="210" spans="3:16" x14ac:dyDescent="0.2">
      <c r="C210" s="119"/>
      <c r="D210" s="119"/>
      <c r="E210" s="119"/>
      <c r="F210" s="119"/>
      <c r="G210" s="119"/>
      <c r="H210" s="119"/>
      <c r="I210" s="143"/>
      <c r="J210" s="143"/>
      <c r="K210" s="119"/>
      <c r="L210" s="119"/>
      <c r="M210" s="119"/>
      <c r="N210" s="119"/>
      <c r="O210" s="119"/>
      <c r="P210" s="119"/>
    </row>
    <row r="211" spans="3:16" x14ac:dyDescent="0.2">
      <c r="C211" s="119"/>
      <c r="D211" s="119"/>
      <c r="E211" s="119"/>
      <c r="F211" s="119"/>
      <c r="G211" s="119"/>
      <c r="H211" s="119"/>
      <c r="I211" s="143"/>
      <c r="J211" s="143"/>
      <c r="K211" s="119"/>
      <c r="L211" s="119"/>
      <c r="M211" s="119"/>
      <c r="N211" s="119"/>
      <c r="O211" s="119"/>
      <c r="P211" s="119"/>
    </row>
    <row r="212" spans="3:16" x14ac:dyDescent="0.2">
      <c r="C212" s="119"/>
      <c r="D212" s="119"/>
      <c r="E212" s="119"/>
      <c r="F212" s="119"/>
      <c r="G212" s="119"/>
      <c r="H212" s="119"/>
      <c r="I212" s="143"/>
      <c r="J212" s="143"/>
      <c r="K212" s="119"/>
      <c r="L212" s="119"/>
      <c r="M212" s="119"/>
      <c r="N212" s="119"/>
      <c r="O212" s="119"/>
      <c r="P212" s="119"/>
    </row>
    <row r="213" spans="3:16" x14ac:dyDescent="0.2">
      <c r="C213" s="119"/>
      <c r="D213" s="119"/>
      <c r="E213" s="119"/>
      <c r="F213" s="119"/>
      <c r="G213" s="119"/>
      <c r="H213" s="119"/>
      <c r="I213" s="143"/>
      <c r="J213" s="143"/>
      <c r="K213" s="119"/>
      <c r="L213" s="119"/>
      <c r="M213" s="119"/>
      <c r="N213" s="119"/>
      <c r="O213" s="119"/>
      <c r="P213" s="119"/>
    </row>
    <row r="214" spans="3:16" x14ac:dyDescent="0.2">
      <c r="C214" s="119"/>
      <c r="D214" s="119"/>
      <c r="E214" s="119"/>
      <c r="F214" s="119"/>
      <c r="G214" s="119"/>
      <c r="H214" s="119"/>
      <c r="I214" s="143"/>
      <c r="J214" s="143"/>
      <c r="K214" s="119"/>
      <c r="L214" s="119"/>
      <c r="M214" s="119"/>
      <c r="N214" s="119"/>
      <c r="O214" s="119"/>
      <c r="P214" s="119"/>
    </row>
    <row r="215" spans="3:16" x14ac:dyDescent="0.2">
      <c r="C215" s="119"/>
      <c r="D215" s="119"/>
      <c r="E215" s="119"/>
      <c r="F215" s="119"/>
      <c r="G215" s="119"/>
      <c r="H215" s="119"/>
      <c r="I215" s="143"/>
      <c r="J215" s="143"/>
      <c r="K215" s="119"/>
      <c r="L215" s="119"/>
      <c r="M215" s="119"/>
      <c r="N215" s="119"/>
      <c r="O215" s="119"/>
      <c r="P215" s="119"/>
    </row>
    <row r="216" spans="3:16" x14ac:dyDescent="0.2">
      <c r="C216" s="119"/>
      <c r="D216" s="119"/>
      <c r="E216" s="119"/>
      <c r="F216" s="119"/>
      <c r="G216" s="119"/>
      <c r="H216" s="119"/>
      <c r="I216" s="143"/>
      <c r="J216" s="143"/>
      <c r="K216" s="119"/>
      <c r="L216" s="119"/>
      <c r="M216" s="119"/>
      <c r="N216" s="119"/>
      <c r="O216" s="119"/>
      <c r="P216" s="119"/>
    </row>
    <row r="217" spans="3:16" x14ac:dyDescent="0.2">
      <c r="C217" s="119"/>
      <c r="D217" s="119"/>
      <c r="E217" s="119"/>
      <c r="F217" s="119"/>
      <c r="G217" s="119"/>
      <c r="H217" s="119"/>
      <c r="I217" s="143"/>
      <c r="J217" s="143"/>
      <c r="K217" s="119"/>
      <c r="L217" s="119"/>
      <c r="M217" s="119"/>
      <c r="N217" s="119"/>
      <c r="O217" s="119"/>
      <c r="P217" s="119"/>
    </row>
    <row r="218" spans="3:16" x14ac:dyDescent="0.2">
      <c r="C218" s="119"/>
      <c r="D218" s="119"/>
      <c r="E218" s="119"/>
      <c r="F218" s="119"/>
      <c r="G218" s="119"/>
      <c r="H218" s="119"/>
      <c r="I218" s="143"/>
      <c r="J218" s="143"/>
      <c r="K218" s="119"/>
      <c r="L218" s="119"/>
      <c r="M218" s="119"/>
      <c r="N218" s="119"/>
      <c r="O218" s="119"/>
      <c r="P218" s="119"/>
    </row>
    <row r="219" spans="3:16" x14ac:dyDescent="0.2">
      <c r="C219" s="119"/>
      <c r="D219" s="119"/>
      <c r="E219" s="119"/>
      <c r="F219" s="119"/>
      <c r="G219" s="119"/>
      <c r="H219" s="119"/>
      <c r="I219" s="143"/>
      <c r="J219" s="143"/>
      <c r="K219" s="119"/>
      <c r="L219" s="119"/>
      <c r="M219" s="119"/>
      <c r="N219" s="119"/>
      <c r="O219" s="119"/>
      <c r="P219" s="119"/>
    </row>
    <row r="220" spans="3:16" x14ac:dyDescent="0.2">
      <c r="C220" s="119"/>
      <c r="D220" s="119"/>
      <c r="E220" s="119"/>
      <c r="F220" s="119"/>
      <c r="G220" s="119"/>
      <c r="H220" s="119"/>
      <c r="I220" s="143"/>
      <c r="J220" s="143"/>
      <c r="K220" s="119"/>
      <c r="L220" s="119"/>
      <c r="M220" s="119"/>
      <c r="N220" s="119"/>
      <c r="O220" s="119"/>
      <c r="P220" s="119"/>
    </row>
    <row r="221" spans="3:16" x14ac:dyDescent="0.2">
      <c r="C221" s="119"/>
      <c r="D221" s="119"/>
      <c r="E221" s="119"/>
      <c r="F221" s="119"/>
      <c r="G221" s="119"/>
      <c r="H221" s="119"/>
      <c r="I221" s="143"/>
      <c r="J221" s="143"/>
      <c r="K221" s="119"/>
      <c r="L221" s="119"/>
      <c r="M221" s="119"/>
      <c r="N221" s="119"/>
      <c r="O221" s="119"/>
      <c r="P221" s="119"/>
    </row>
    <row r="222" spans="3:16" x14ac:dyDescent="0.2">
      <c r="C222" s="119"/>
      <c r="D222" s="119"/>
      <c r="E222" s="119"/>
      <c r="F222" s="119"/>
      <c r="G222" s="119"/>
      <c r="H222" s="119"/>
      <c r="I222" s="143"/>
      <c r="J222" s="143"/>
      <c r="K222" s="119"/>
      <c r="L222" s="119"/>
      <c r="M222" s="119"/>
      <c r="N222" s="119"/>
      <c r="O222" s="119"/>
      <c r="P222" s="119"/>
    </row>
    <row r="223" spans="3:16" x14ac:dyDescent="0.2">
      <c r="C223" s="119"/>
      <c r="D223" s="119"/>
      <c r="E223" s="119"/>
      <c r="F223" s="119"/>
      <c r="G223" s="119"/>
      <c r="H223" s="119"/>
      <c r="I223" s="143"/>
      <c r="J223" s="143"/>
      <c r="K223" s="119"/>
      <c r="L223" s="119"/>
      <c r="M223" s="119"/>
      <c r="N223" s="119"/>
      <c r="O223" s="119"/>
      <c r="P223" s="119"/>
    </row>
    <row r="224" spans="3:16" x14ac:dyDescent="0.2">
      <c r="C224" s="119"/>
      <c r="D224" s="119"/>
      <c r="E224" s="119"/>
      <c r="F224" s="119"/>
      <c r="G224" s="119"/>
      <c r="H224" s="119"/>
      <c r="I224" s="143"/>
      <c r="J224" s="143"/>
      <c r="K224" s="119"/>
      <c r="L224" s="119"/>
      <c r="M224" s="119"/>
      <c r="N224" s="119"/>
      <c r="O224" s="119"/>
      <c r="P224" s="119"/>
    </row>
    <row r="225" spans="3:16" x14ac:dyDescent="0.2">
      <c r="C225" s="119"/>
      <c r="D225" s="119"/>
      <c r="E225" s="119"/>
      <c r="F225" s="119"/>
      <c r="G225" s="119"/>
      <c r="H225" s="119"/>
      <c r="I225" s="143"/>
      <c r="J225" s="143"/>
      <c r="K225" s="119"/>
      <c r="L225" s="119"/>
      <c r="M225" s="119"/>
      <c r="N225" s="119"/>
      <c r="O225" s="119"/>
      <c r="P225" s="119"/>
    </row>
    <row r="226" spans="3:16" x14ac:dyDescent="0.2">
      <c r="C226" s="119"/>
      <c r="D226" s="119"/>
      <c r="E226" s="119"/>
      <c r="F226" s="119"/>
      <c r="G226" s="119"/>
      <c r="H226" s="119"/>
      <c r="I226" s="143"/>
      <c r="J226" s="143"/>
      <c r="K226" s="119"/>
      <c r="L226" s="119"/>
      <c r="M226" s="119"/>
      <c r="N226" s="119"/>
      <c r="O226" s="119"/>
      <c r="P226" s="119"/>
    </row>
    <row r="227" spans="3:16" x14ac:dyDescent="0.2">
      <c r="C227" s="119"/>
      <c r="D227" s="119"/>
      <c r="E227" s="119"/>
      <c r="F227" s="119"/>
      <c r="G227" s="119"/>
      <c r="H227" s="119"/>
      <c r="I227" s="143"/>
      <c r="J227" s="143"/>
      <c r="K227" s="119"/>
      <c r="L227" s="119"/>
      <c r="M227" s="119"/>
      <c r="N227" s="119"/>
      <c r="O227" s="119"/>
      <c r="P227" s="119"/>
    </row>
    <row r="228" spans="3:16" x14ac:dyDescent="0.2">
      <c r="C228" s="119"/>
      <c r="D228" s="119"/>
      <c r="E228" s="119"/>
      <c r="F228" s="119"/>
      <c r="G228" s="119"/>
      <c r="H228" s="119"/>
      <c r="I228" s="143"/>
      <c r="J228" s="143"/>
      <c r="K228" s="119"/>
      <c r="L228" s="119"/>
      <c r="M228" s="119"/>
      <c r="N228" s="119"/>
      <c r="O228" s="119"/>
      <c r="P228" s="119"/>
    </row>
    <row r="229" spans="3:16" x14ac:dyDescent="0.2">
      <c r="C229" s="119"/>
      <c r="D229" s="119"/>
      <c r="E229" s="119"/>
      <c r="F229" s="119"/>
      <c r="G229" s="119"/>
      <c r="H229" s="119"/>
      <c r="I229" s="143"/>
      <c r="J229" s="143"/>
      <c r="K229" s="119"/>
      <c r="L229" s="119"/>
      <c r="M229" s="119"/>
      <c r="N229" s="119"/>
      <c r="O229" s="119"/>
      <c r="P229" s="119"/>
    </row>
    <row r="230" spans="3:16" x14ac:dyDescent="0.2">
      <c r="C230" s="119"/>
      <c r="D230" s="119"/>
      <c r="E230" s="119"/>
      <c r="F230" s="119"/>
      <c r="G230" s="119"/>
      <c r="H230" s="119"/>
      <c r="I230" s="143"/>
      <c r="J230" s="143"/>
      <c r="K230" s="119"/>
      <c r="L230" s="119"/>
      <c r="M230" s="119"/>
      <c r="N230" s="119"/>
      <c r="O230" s="119"/>
      <c r="P230" s="119"/>
    </row>
    <row r="231" spans="3:16" x14ac:dyDescent="0.2">
      <c r="C231" s="119"/>
      <c r="D231" s="119"/>
      <c r="E231" s="119"/>
      <c r="F231" s="119"/>
      <c r="G231" s="119"/>
      <c r="H231" s="119"/>
      <c r="I231" s="143"/>
      <c r="J231" s="143"/>
      <c r="K231" s="119"/>
      <c r="L231" s="119"/>
      <c r="M231" s="119"/>
      <c r="N231" s="119"/>
      <c r="O231" s="119"/>
      <c r="P231" s="119"/>
    </row>
    <row r="232" spans="3:16" x14ac:dyDescent="0.2">
      <c r="C232" s="119"/>
      <c r="D232" s="119"/>
      <c r="E232" s="119"/>
      <c r="F232" s="119"/>
      <c r="G232" s="119"/>
      <c r="H232" s="119"/>
      <c r="I232" s="143"/>
      <c r="J232" s="143"/>
      <c r="K232" s="119"/>
      <c r="L232" s="119"/>
      <c r="M232" s="119"/>
      <c r="N232" s="119"/>
      <c r="O232" s="119"/>
      <c r="P232" s="119"/>
    </row>
    <row r="233" spans="3:16" x14ac:dyDescent="0.2">
      <c r="C233" s="119"/>
      <c r="D233" s="119"/>
      <c r="E233" s="119"/>
      <c r="F233" s="119"/>
      <c r="G233" s="119"/>
      <c r="H233" s="119"/>
      <c r="I233" s="143"/>
      <c r="J233" s="143"/>
      <c r="K233" s="119"/>
      <c r="L233" s="119"/>
      <c r="M233" s="119"/>
      <c r="N233" s="119"/>
      <c r="O233" s="119"/>
      <c r="P233" s="119"/>
    </row>
    <row r="234" spans="3:16" x14ac:dyDescent="0.2">
      <c r="C234" s="119"/>
      <c r="D234" s="119"/>
      <c r="E234" s="119"/>
      <c r="F234" s="119"/>
      <c r="G234" s="119"/>
      <c r="H234" s="119"/>
      <c r="I234" s="143"/>
      <c r="J234" s="143"/>
      <c r="K234" s="119"/>
      <c r="L234" s="119"/>
      <c r="M234" s="119"/>
      <c r="N234" s="119"/>
      <c r="O234" s="119"/>
      <c r="P234" s="119"/>
    </row>
    <row r="235" spans="3:16" x14ac:dyDescent="0.2">
      <c r="C235" s="119"/>
      <c r="D235" s="119"/>
      <c r="E235" s="119"/>
      <c r="F235" s="119"/>
      <c r="G235" s="119"/>
      <c r="H235" s="119"/>
      <c r="I235" s="143"/>
      <c r="J235" s="143"/>
      <c r="K235" s="119"/>
      <c r="L235" s="119"/>
      <c r="M235" s="119"/>
      <c r="N235" s="119"/>
      <c r="O235" s="119"/>
      <c r="P235" s="119"/>
    </row>
    <row r="236" spans="3:16" x14ac:dyDescent="0.2">
      <c r="C236" s="119"/>
      <c r="D236" s="119"/>
      <c r="E236" s="119"/>
      <c r="F236" s="119"/>
      <c r="G236" s="119"/>
      <c r="H236" s="119"/>
      <c r="I236" s="143"/>
      <c r="J236" s="143"/>
      <c r="K236" s="119"/>
      <c r="L236" s="119"/>
      <c r="M236" s="119"/>
      <c r="N236" s="119"/>
      <c r="O236" s="119"/>
      <c r="P236" s="119"/>
    </row>
    <row r="237" spans="3:16" x14ac:dyDescent="0.2">
      <c r="C237" s="119"/>
      <c r="D237" s="119"/>
      <c r="E237" s="119"/>
      <c r="F237" s="119"/>
      <c r="G237" s="119"/>
      <c r="H237" s="119"/>
      <c r="I237" s="143"/>
      <c r="J237" s="143"/>
      <c r="K237" s="119"/>
      <c r="L237" s="119"/>
      <c r="M237" s="119"/>
      <c r="N237" s="119"/>
      <c r="O237" s="119"/>
      <c r="P237" s="119"/>
    </row>
    <row r="238" spans="3:16" x14ac:dyDescent="0.2">
      <c r="C238" s="119"/>
      <c r="D238" s="119"/>
      <c r="E238" s="119"/>
      <c r="F238" s="119"/>
      <c r="G238" s="119"/>
      <c r="H238" s="119"/>
      <c r="I238" s="143"/>
      <c r="J238" s="143"/>
      <c r="K238" s="119"/>
      <c r="L238" s="119"/>
      <c r="M238" s="119"/>
      <c r="N238" s="119"/>
      <c r="O238" s="119"/>
      <c r="P238" s="119"/>
    </row>
    <row r="239" spans="3:16" x14ac:dyDescent="0.2">
      <c r="C239" s="119"/>
      <c r="D239" s="119"/>
      <c r="E239" s="119"/>
      <c r="F239" s="119"/>
      <c r="G239" s="119"/>
      <c r="H239" s="119"/>
      <c r="I239" s="143"/>
      <c r="J239" s="143"/>
      <c r="K239" s="119"/>
      <c r="L239" s="119"/>
      <c r="M239" s="119"/>
      <c r="N239" s="119"/>
      <c r="O239" s="119"/>
      <c r="P239" s="119"/>
    </row>
    <row r="240" spans="3:16" x14ac:dyDescent="0.2">
      <c r="C240" s="119"/>
      <c r="D240" s="119"/>
      <c r="E240" s="119"/>
      <c r="F240" s="119"/>
      <c r="G240" s="119"/>
      <c r="H240" s="119"/>
      <c r="I240" s="143"/>
      <c r="J240" s="143"/>
      <c r="K240" s="119"/>
      <c r="L240" s="119"/>
      <c r="M240" s="119"/>
      <c r="N240" s="119"/>
      <c r="O240" s="119"/>
      <c r="P240" s="119"/>
    </row>
    <row r="241" spans="3:16" x14ac:dyDescent="0.2">
      <c r="C241" s="119"/>
      <c r="D241" s="119"/>
      <c r="E241" s="119"/>
      <c r="F241" s="119"/>
      <c r="G241" s="119"/>
      <c r="H241" s="119"/>
      <c r="I241" s="143"/>
      <c r="J241" s="143"/>
      <c r="K241" s="119"/>
      <c r="L241" s="119"/>
      <c r="M241" s="119"/>
      <c r="N241" s="119"/>
      <c r="O241" s="119"/>
      <c r="P241" s="119"/>
    </row>
    <row r="242" spans="3:16" x14ac:dyDescent="0.2">
      <c r="C242" s="119"/>
      <c r="D242" s="119"/>
      <c r="E242" s="119"/>
      <c r="F242" s="119"/>
      <c r="G242" s="119"/>
      <c r="H242" s="119"/>
      <c r="I242" s="143"/>
      <c r="J242" s="143"/>
      <c r="K242" s="119"/>
      <c r="L242" s="119"/>
      <c r="M242" s="119"/>
      <c r="N242" s="119"/>
      <c r="O242" s="119"/>
      <c r="P242" s="119"/>
    </row>
    <row r="243" spans="3:16" x14ac:dyDescent="0.2">
      <c r="C243" s="119"/>
      <c r="D243" s="119"/>
      <c r="E243" s="119"/>
      <c r="F243" s="119"/>
      <c r="G243" s="119"/>
      <c r="H243" s="119"/>
      <c r="I243" s="143"/>
      <c r="J243" s="143"/>
      <c r="K243" s="119"/>
      <c r="L243" s="119"/>
      <c r="M243" s="119"/>
      <c r="N243" s="119"/>
      <c r="O243" s="119"/>
      <c r="P243" s="119"/>
    </row>
    <row r="244" spans="3:16" x14ac:dyDescent="0.2">
      <c r="C244" s="119"/>
      <c r="D244" s="119"/>
      <c r="E244" s="119"/>
      <c r="F244" s="119"/>
      <c r="G244" s="119"/>
      <c r="H244" s="119"/>
      <c r="I244" s="143"/>
      <c r="J244" s="143"/>
      <c r="K244" s="119"/>
      <c r="L244" s="119"/>
      <c r="M244" s="119"/>
      <c r="N244" s="119"/>
      <c r="O244" s="119"/>
      <c r="P244" s="119"/>
    </row>
    <row r="245" spans="3:16" x14ac:dyDescent="0.2">
      <c r="C245" s="119"/>
      <c r="D245" s="119"/>
      <c r="E245" s="119"/>
      <c r="F245" s="119"/>
      <c r="G245" s="119"/>
      <c r="H245" s="119"/>
      <c r="I245" s="143"/>
      <c r="J245" s="143"/>
      <c r="K245" s="119"/>
      <c r="L245" s="119"/>
      <c r="M245" s="119"/>
      <c r="N245" s="119"/>
      <c r="O245" s="119"/>
      <c r="P245" s="119"/>
    </row>
    <row r="246" spans="3:16" x14ac:dyDescent="0.2">
      <c r="C246" s="119"/>
      <c r="D246" s="119"/>
      <c r="E246" s="119"/>
      <c r="F246" s="119"/>
      <c r="G246" s="119"/>
      <c r="H246" s="119"/>
      <c r="I246" s="143"/>
      <c r="J246" s="143"/>
      <c r="K246" s="119"/>
      <c r="L246" s="119"/>
      <c r="M246" s="119"/>
      <c r="N246" s="119"/>
      <c r="O246" s="119"/>
      <c r="P246" s="119"/>
    </row>
    <row r="247" spans="3:16" x14ac:dyDescent="0.2">
      <c r="C247" s="119"/>
      <c r="D247" s="119"/>
      <c r="E247" s="119"/>
      <c r="F247" s="119"/>
      <c r="G247" s="119"/>
      <c r="H247" s="119"/>
      <c r="I247" s="143"/>
      <c r="J247" s="143"/>
      <c r="K247" s="119"/>
      <c r="L247" s="119"/>
      <c r="M247" s="119"/>
      <c r="N247" s="119"/>
      <c r="O247" s="119"/>
      <c r="P247" s="119"/>
    </row>
    <row r="248" spans="3:16" x14ac:dyDescent="0.2">
      <c r="C248" s="119"/>
      <c r="D248" s="119"/>
      <c r="E248" s="119"/>
      <c r="F248" s="119"/>
      <c r="G248" s="119"/>
      <c r="H248" s="119"/>
      <c r="I248" s="143"/>
      <c r="J248" s="143"/>
      <c r="K248" s="119"/>
      <c r="L248" s="119"/>
      <c r="M248" s="119"/>
      <c r="N248" s="119"/>
      <c r="O248" s="119"/>
      <c r="P248" s="119"/>
    </row>
    <row r="249" spans="3:16" x14ac:dyDescent="0.2">
      <c r="C249" s="119"/>
      <c r="D249" s="119"/>
      <c r="E249" s="119"/>
      <c r="F249" s="119"/>
      <c r="G249" s="119"/>
      <c r="H249" s="119"/>
      <c r="I249" s="143"/>
      <c r="J249" s="143"/>
      <c r="K249" s="119"/>
      <c r="L249" s="119"/>
      <c r="M249" s="119"/>
      <c r="N249" s="119"/>
      <c r="O249" s="119"/>
      <c r="P249" s="119"/>
    </row>
    <row r="250" spans="3:16" x14ac:dyDescent="0.2">
      <c r="C250" s="119"/>
      <c r="D250" s="119"/>
      <c r="E250" s="119"/>
      <c r="F250" s="119"/>
      <c r="G250" s="119"/>
      <c r="H250" s="119"/>
      <c r="I250" s="143"/>
      <c r="J250" s="143"/>
      <c r="K250" s="119"/>
      <c r="L250" s="119"/>
      <c r="M250" s="119"/>
      <c r="N250" s="119"/>
      <c r="O250" s="119"/>
      <c r="P250" s="119"/>
    </row>
    <row r="251" spans="3:16" x14ac:dyDescent="0.2">
      <c r="C251" s="119"/>
      <c r="D251" s="119"/>
      <c r="E251" s="119"/>
      <c r="F251" s="119"/>
      <c r="G251" s="119"/>
      <c r="H251" s="119"/>
      <c r="I251" s="143"/>
      <c r="J251" s="143"/>
      <c r="K251" s="119"/>
      <c r="L251" s="119"/>
      <c r="M251" s="119"/>
      <c r="N251" s="119"/>
      <c r="O251" s="119"/>
      <c r="P251" s="119"/>
    </row>
    <row r="252" spans="3:16" x14ac:dyDescent="0.2">
      <c r="C252" s="119"/>
      <c r="D252" s="119"/>
      <c r="E252" s="119"/>
      <c r="F252" s="119"/>
      <c r="G252" s="119"/>
      <c r="H252" s="119"/>
      <c r="I252" s="143"/>
      <c r="J252" s="143"/>
      <c r="K252" s="119"/>
      <c r="L252" s="119"/>
      <c r="M252" s="119"/>
      <c r="N252" s="119"/>
      <c r="O252" s="119"/>
      <c r="P252" s="119"/>
    </row>
    <row r="253" spans="3:16" x14ac:dyDescent="0.2">
      <c r="C253" s="119"/>
      <c r="D253" s="119"/>
      <c r="E253" s="119"/>
      <c r="F253" s="119"/>
      <c r="G253" s="119"/>
      <c r="H253" s="119"/>
      <c r="I253" s="143"/>
      <c r="J253" s="143"/>
      <c r="K253" s="119"/>
      <c r="L253" s="119"/>
      <c r="M253" s="119"/>
      <c r="N253" s="119"/>
      <c r="O253" s="119"/>
      <c r="P253" s="119"/>
    </row>
    <row r="254" spans="3:16" x14ac:dyDescent="0.2">
      <c r="C254" s="119"/>
      <c r="D254" s="119"/>
      <c r="E254" s="119"/>
      <c r="F254" s="119"/>
      <c r="G254" s="119"/>
      <c r="H254" s="119"/>
      <c r="I254" s="143"/>
      <c r="J254" s="143"/>
      <c r="K254" s="119"/>
      <c r="L254" s="119"/>
      <c r="M254" s="119"/>
      <c r="N254" s="119"/>
      <c r="O254" s="119"/>
      <c r="P254" s="119"/>
    </row>
    <row r="255" spans="3:16" x14ac:dyDescent="0.2">
      <c r="C255" s="119"/>
      <c r="D255" s="119"/>
      <c r="E255" s="119"/>
      <c r="F255" s="119"/>
      <c r="G255" s="119"/>
      <c r="H255" s="119"/>
      <c r="I255" s="143"/>
      <c r="J255" s="143"/>
      <c r="K255" s="119"/>
      <c r="L255" s="119"/>
      <c r="M255" s="119"/>
      <c r="N255" s="119"/>
      <c r="O255" s="119"/>
      <c r="P255" s="119"/>
    </row>
    <row r="256" spans="3:16" x14ac:dyDescent="0.2">
      <c r="C256" s="119"/>
      <c r="D256" s="119"/>
      <c r="E256" s="119"/>
      <c r="F256" s="119"/>
      <c r="G256" s="119"/>
      <c r="H256" s="119"/>
      <c r="I256" s="143"/>
      <c r="J256" s="143"/>
      <c r="K256" s="119"/>
      <c r="L256" s="119"/>
      <c r="M256" s="119"/>
      <c r="N256" s="119"/>
      <c r="O256" s="119"/>
      <c r="P256" s="119"/>
    </row>
    <row r="257" spans="3:16" x14ac:dyDescent="0.2">
      <c r="C257" s="119"/>
      <c r="D257" s="119"/>
      <c r="E257" s="119"/>
      <c r="F257" s="119"/>
      <c r="G257" s="119"/>
      <c r="H257" s="119"/>
      <c r="I257" s="143"/>
      <c r="J257" s="143"/>
      <c r="K257" s="119"/>
      <c r="L257" s="119"/>
      <c r="M257" s="119"/>
      <c r="N257" s="119"/>
      <c r="O257" s="119"/>
      <c r="P257" s="119"/>
    </row>
    <row r="258" spans="3:16" x14ac:dyDescent="0.2">
      <c r="C258" s="119"/>
      <c r="D258" s="119"/>
      <c r="E258" s="119"/>
      <c r="F258" s="119"/>
      <c r="G258" s="119"/>
      <c r="H258" s="119"/>
      <c r="I258" s="143"/>
      <c r="J258" s="143"/>
      <c r="K258" s="119"/>
      <c r="L258" s="119"/>
      <c r="M258" s="119"/>
      <c r="N258" s="119"/>
      <c r="O258" s="119"/>
      <c r="P258" s="119"/>
    </row>
    <row r="259" spans="3:16" x14ac:dyDescent="0.2">
      <c r="C259" s="119"/>
      <c r="D259" s="119"/>
      <c r="E259" s="119"/>
      <c r="F259" s="119"/>
      <c r="G259" s="119"/>
      <c r="H259" s="119"/>
      <c r="I259" s="143"/>
      <c r="J259" s="143"/>
      <c r="K259" s="119"/>
      <c r="L259" s="119"/>
      <c r="M259" s="119"/>
      <c r="N259" s="119"/>
      <c r="O259" s="119"/>
      <c r="P259" s="119"/>
    </row>
    <row r="260" spans="3:16" x14ac:dyDescent="0.2">
      <c r="C260" s="119"/>
      <c r="D260" s="119"/>
      <c r="E260" s="119"/>
      <c r="F260" s="119"/>
      <c r="G260" s="119"/>
      <c r="H260" s="119"/>
      <c r="I260" s="143"/>
      <c r="J260" s="143"/>
      <c r="K260" s="119"/>
      <c r="L260" s="119"/>
      <c r="M260" s="119"/>
      <c r="N260" s="119"/>
      <c r="O260" s="119"/>
      <c r="P260" s="119"/>
    </row>
    <row r="261" spans="3:16" x14ac:dyDescent="0.2">
      <c r="C261" s="119"/>
      <c r="D261" s="119"/>
      <c r="E261" s="119"/>
      <c r="F261" s="119"/>
      <c r="G261" s="119"/>
      <c r="H261" s="119"/>
      <c r="I261" s="143"/>
      <c r="J261" s="143"/>
      <c r="K261" s="119"/>
      <c r="L261" s="119"/>
      <c r="M261" s="119"/>
      <c r="N261" s="119"/>
      <c r="O261" s="119"/>
      <c r="P261" s="119"/>
    </row>
    <row r="262" spans="3:16" x14ac:dyDescent="0.2">
      <c r="C262" s="119"/>
      <c r="D262" s="119"/>
      <c r="E262" s="119"/>
      <c r="F262" s="119"/>
      <c r="G262" s="119"/>
      <c r="H262" s="119"/>
      <c r="I262" s="143"/>
      <c r="J262" s="143"/>
      <c r="K262" s="119"/>
      <c r="L262" s="119"/>
      <c r="M262" s="119"/>
      <c r="N262" s="119"/>
      <c r="O262" s="119"/>
      <c r="P262" s="119"/>
    </row>
    <row r="263" spans="3:16" x14ac:dyDescent="0.2">
      <c r="C263" s="119"/>
      <c r="D263" s="119"/>
      <c r="E263" s="119"/>
      <c r="F263" s="119"/>
      <c r="G263" s="119"/>
      <c r="H263" s="119"/>
      <c r="I263" s="143"/>
      <c r="J263" s="143"/>
      <c r="K263" s="119"/>
      <c r="L263" s="119"/>
      <c r="M263" s="119"/>
      <c r="N263" s="119"/>
      <c r="O263" s="119"/>
      <c r="P263" s="119"/>
    </row>
    <row r="264" spans="3:16" x14ac:dyDescent="0.2">
      <c r="C264" s="119"/>
      <c r="D264" s="119"/>
      <c r="E264" s="119"/>
      <c r="F264" s="119"/>
      <c r="G264" s="119"/>
      <c r="H264" s="119"/>
      <c r="I264" s="143"/>
      <c r="J264" s="143"/>
      <c r="K264" s="119"/>
      <c r="L264" s="119"/>
      <c r="M264" s="119"/>
      <c r="N264" s="119"/>
      <c r="O264" s="119"/>
      <c r="P264" s="119"/>
    </row>
    <row r="265" spans="3:16" x14ac:dyDescent="0.2">
      <c r="C265" s="119"/>
      <c r="D265" s="119"/>
      <c r="E265" s="119"/>
      <c r="F265" s="119"/>
      <c r="G265" s="119"/>
      <c r="H265" s="119"/>
      <c r="I265" s="143"/>
      <c r="J265" s="143"/>
      <c r="K265" s="119"/>
      <c r="L265" s="119"/>
      <c r="M265" s="119"/>
      <c r="N265" s="119"/>
      <c r="O265" s="119"/>
      <c r="P265" s="119"/>
    </row>
    <row r="266" spans="3:16" x14ac:dyDescent="0.2">
      <c r="C266" s="119"/>
      <c r="D266" s="119"/>
      <c r="E266" s="119"/>
      <c r="F266" s="119"/>
      <c r="G266" s="119"/>
      <c r="H266" s="119"/>
      <c r="I266" s="143"/>
      <c r="J266" s="143"/>
      <c r="K266" s="119"/>
      <c r="L266" s="119"/>
      <c r="M266" s="119"/>
      <c r="N266" s="119"/>
      <c r="O266" s="119"/>
      <c r="P266" s="119"/>
    </row>
    <row r="267" spans="3:16" x14ac:dyDescent="0.2">
      <c r="C267" s="119"/>
      <c r="D267" s="119"/>
      <c r="E267" s="119"/>
      <c r="F267" s="119"/>
      <c r="G267" s="119"/>
      <c r="H267" s="119"/>
      <c r="I267" s="143"/>
      <c r="J267" s="143"/>
      <c r="K267" s="119"/>
      <c r="L267" s="119"/>
      <c r="M267" s="119"/>
      <c r="N267" s="119"/>
      <c r="O267" s="119"/>
      <c r="P267" s="119"/>
    </row>
    <row r="268" spans="3:16" x14ac:dyDescent="0.2">
      <c r="C268" s="119"/>
      <c r="D268" s="119"/>
      <c r="E268" s="119"/>
      <c r="F268" s="119"/>
      <c r="G268" s="119"/>
      <c r="H268" s="119"/>
      <c r="I268" s="143"/>
      <c r="J268" s="143"/>
      <c r="K268" s="119"/>
      <c r="L268" s="119"/>
      <c r="M268" s="119"/>
      <c r="N268" s="119"/>
      <c r="O268" s="119"/>
      <c r="P268" s="119"/>
    </row>
    <row r="269" spans="3:16" x14ac:dyDescent="0.2">
      <c r="C269" s="119"/>
      <c r="D269" s="119"/>
      <c r="E269" s="119"/>
      <c r="F269" s="119"/>
      <c r="G269" s="119"/>
      <c r="H269" s="119"/>
      <c r="I269" s="143"/>
      <c r="J269" s="143"/>
      <c r="K269" s="119"/>
      <c r="L269" s="119"/>
      <c r="M269" s="119"/>
      <c r="N269" s="119"/>
      <c r="O269" s="119"/>
      <c r="P269" s="119"/>
    </row>
    <row r="270" spans="3:16" x14ac:dyDescent="0.2">
      <c r="C270" s="119"/>
      <c r="D270" s="119"/>
      <c r="E270" s="119"/>
      <c r="F270" s="119"/>
      <c r="G270" s="119"/>
      <c r="H270" s="119"/>
      <c r="I270" s="143"/>
      <c r="J270" s="143"/>
      <c r="K270" s="119"/>
      <c r="L270" s="119"/>
      <c r="M270" s="119"/>
      <c r="N270" s="119"/>
      <c r="O270" s="119"/>
      <c r="P270" s="119"/>
    </row>
    <row r="271" spans="3:16" x14ac:dyDescent="0.2">
      <c r="C271" s="119"/>
      <c r="D271" s="119"/>
      <c r="E271" s="119"/>
      <c r="F271" s="119"/>
      <c r="G271" s="119"/>
      <c r="H271" s="119"/>
      <c r="I271" s="143"/>
      <c r="J271" s="143"/>
      <c r="K271" s="119"/>
      <c r="L271" s="119"/>
      <c r="M271" s="119"/>
      <c r="N271" s="119"/>
      <c r="O271" s="119"/>
      <c r="P271" s="119"/>
    </row>
    <row r="272" spans="3:16" x14ac:dyDescent="0.2">
      <c r="C272" s="119"/>
      <c r="D272" s="119"/>
      <c r="E272" s="119"/>
      <c r="F272" s="119"/>
      <c r="G272" s="119"/>
      <c r="H272" s="119"/>
      <c r="I272" s="143"/>
      <c r="J272" s="143"/>
      <c r="K272" s="119"/>
      <c r="L272" s="119"/>
      <c r="M272" s="119"/>
      <c r="N272" s="119"/>
      <c r="O272" s="119"/>
      <c r="P272" s="119"/>
    </row>
    <row r="273" spans="3:16" x14ac:dyDescent="0.2">
      <c r="C273" s="119"/>
      <c r="D273" s="119"/>
      <c r="E273" s="119"/>
      <c r="F273" s="119"/>
      <c r="G273" s="119"/>
      <c r="H273" s="119"/>
      <c r="I273" s="143"/>
      <c r="J273" s="143"/>
      <c r="K273" s="119"/>
      <c r="L273" s="119"/>
      <c r="M273" s="119"/>
      <c r="N273" s="119"/>
      <c r="O273" s="119"/>
      <c r="P273" s="119"/>
    </row>
    <row r="274" spans="3:16" x14ac:dyDescent="0.2">
      <c r="C274" s="119"/>
      <c r="D274" s="119"/>
      <c r="E274" s="119"/>
      <c r="F274" s="119"/>
      <c r="G274" s="119"/>
      <c r="H274" s="119"/>
      <c r="I274" s="143"/>
      <c r="J274" s="143"/>
      <c r="K274" s="119"/>
      <c r="L274" s="119"/>
      <c r="M274" s="119"/>
      <c r="N274" s="119"/>
      <c r="O274" s="119"/>
      <c r="P274" s="119"/>
    </row>
    <row r="275" spans="3:16" x14ac:dyDescent="0.2">
      <c r="C275" s="119"/>
      <c r="D275" s="119"/>
      <c r="E275" s="119"/>
      <c r="F275" s="119"/>
      <c r="G275" s="119"/>
      <c r="H275" s="119"/>
      <c r="I275" s="143"/>
      <c r="J275" s="143"/>
      <c r="K275" s="119"/>
      <c r="L275" s="119"/>
      <c r="M275" s="119"/>
      <c r="N275" s="119"/>
      <c r="O275" s="119"/>
      <c r="P275" s="119"/>
    </row>
    <row r="276" spans="3:16" x14ac:dyDescent="0.2">
      <c r="C276" s="119"/>
      <c r="D276" s="119"/>
      <c r="E276" s="119"/>
      <c r="F276" s="119"/>
      <c r="G276" s="119"/>
      <c r="H276" s="119"/>
      <c r="I276" s="143"/>
      <c r="J276" s="143"/>
      <c r="K276" s="119"/>
      <c r="L276" s="119"/>
      <c r="M276" s="119"/>
      <c r="N276" s="119"/>
      <c r="O276" s="119"/>
      <c r="P276" s="119"/>
    </row>
    <row r="277" spans="3:16" x14ac:dyDescent="0.2">
      <c r="C277" s="119"/>
      <c r="D277" s="119"/>
      <c r="E277" s="119"/>
      <c r="F277" s="119"/>
      <c r="G277" s="119"/>
      <c r="H277" s="119"/>
      <c r="I277" s="143"/>
      <c r="J277" s="143"/>
      <c r="K277" s="119"/>
      <c r="L277" s="119"/>
      <c r="M277" s="119"/>
      <c r="N277" s="119"/>
      <c r="O277" s="119"/>
      <c r="P277" s="119"/>
    </row>
    <row r="278" spans="3:16" x14ac:dyDescent="0.2">
      <c r="C278" s="119"/>
      <c r="D278" s="119"/>
      <c r="E278" s="119"/>
      <c r="F278" s="119"/>
      <c r="G278" s="119"/>
      <c r="H278" s="119"/>
      <c r="I278" s="143"/>
      <c r="J278" s="143"/>
      <c r="K278" s="119"/>
      <c r="L278" s="119"/>
      <c r="M278" s="119"/>
      <c r="N278" s="119"/>
      <c r="O278" s="119"/>
      <c r="P278" s="119"/>
    </row>
    <row r="279" spans="3:16" x14ac:dyDescent="0.2">
      <c r="C279" s="119"/>
      <c r="D279" s="119"/>
      <c r="E279" s="119"/>
      <c r="F279" s="119"/>
      <c r="G279" s="119"/>
      <c r="H279" s="119"/>
      <c r="I279" s="143"/>
      <c r="J279" s="143"/>
      <c r="K279" s="119"/>
      <c r="L279" s="119"/>
      <c r="M279" s="119"/>
      <c r="N279" s="119"/>
      <c r="O279" s="119"/>
      <c r="P279" s="119"/>
    </row>
    <row r="280" spans="3:16" x14ac:dyDescent="0.2">
      <c r="C280" s="119"/>
      <c r="D280" s="119"/>
      <c r="E280" s="119"/>
      <c r="F280" s="119"/>
      <c r="G280" s="119"/>
      <c r="H280" s="119"/>
      <c r="I280" s="143"/>
      <c r="J280" s="143"/>
      <c r="K280" s="119"/>
      <c r="L280" s="119"/>
      <c r="M280" s="119"/>
      <c r="N280" s="119"/>
      <c r="O280" s="119"/>
      <c r="P280" s="119"/>
    </row>
    <row r="281" spans="3:16" x14ac:dyDescent="0.2">
      <c r="C281" s="119"/>
      <c r="D281" s="119"/>
      <c r="E281" s="119"/>
      <c r="F281" s="119"/>
      <c r="G281" s="119"/>
      <c r="H281" s="119"/>
      <c r="I281" s="143"/>
      <c r="J281" s="143"/>
      <c r="K281" s="119"/>
      <c r="L281" s="119"/>
      <c r="M281" s="119"/>
      <c r="N281" s="119"/>
      <c r="O281" s="119"/>
      <c r="P281" s="119"/>
    </row>
    <row r="282" spans="3:16" x14ac:dyDescent="0.2">
      <c r="C282" s="119"/>
      <c r="D282" s="119"/>
      <c r="E282" s="119"/>
      <c r="F282" s="119"/>
      <c r="G282" s="119"/>
      <c r="H282" s="119"/>
      <c r="I282" s="143"/>
      <c r="J282" s="143"/>
      <c r="K282" s="119"/>
      <c r="L282" s="119"/>
      <c r="M282" s="119"/>
      <c r="N282" s="119"/>
      <c r="O282" s="119"/>
      <c r="P282" s="119"/>
    </row>
    <row r="283" spans="3:16" x14ac:dyDescent="0.2">
      <c r="C283" s="119"/>
      <c r="D283" s="119"/>
      <c r="E283" s="119"/>
      <c r="F283" s="119"/>
      <c r="G283" s="119"/>
      <c r="H283" s="119"/>
      <c r="I283" s="143"/>
      <c r="J283" s="143"/>
      <c r="K283" s="119"/>
      <c r="L283" s="119"/>
      <c r="M283" s="119"/>
      <c r="N283" s="119"/>
      <c r="O283" s="119"/>
      <c r="P283" s="119"/>
    </row>
    <row r="284" spans="3:16" x14ac:dyDescent="0.2">
      <c r="C284" s="119"/>
      <c r="D284" s="119"/>
      <c r="E284" s="119"/>
      <c r="F284" s="119"/>
      <c r="G284" s="119"/>
      <c r="H284" s="119"/>
      <c r="I284" s="143"/>
      <c r="J284" s="143"/>
      <c r="K284" s="119"/>
      <c r="L284" s="119"/>
      <c r="M284" s="119"/>
      <c r="N284" s="119"/>
      <c r="O284" s="119"/>
      <c r="P284" s="119"/>
    </row>
    <row r="285" spans="3:16" x14ac:dyDescent="0.2">
      <c r="C285" s="119"/>
      <c r="D285" s="119"/>
      <c r="E285" s="119"/>
      <c r="F285" s="119"/>
      <c r="G285" s="119"/>
      <c r="H285" s="119"/>
      <c r="I285" s="143"/>
      <c r="J285" s="143"/>
      <c r="K285" s="119"/>
      <c r="L285" s="119"/>
      <c r="M285" s="119"/>
      <c r="N285" s="119"/>
      <c r="O285" s="119"/>
      <c r="P285" s="119"/>
    </row>
    <row r="286" spans="3:16" x14ac:dyDescent="0.2">
      <c r="C286" s="119"/>
      <c r="D286" s="119"/>
      <c r="E286" s="119"/>
      <c r="F286" s="119"/>
      <c r="G286" s="119"/>
      <c r="H286" s="119"/>
      <c r="I286" s="143"/>
      <c r="J286" s="143"/>
      <c r="K286" s="119"/>
      <c r="L286" s="119"/>
      <c r="M286" s="119"/>
      <c r="N286" s="119"/>
      <c r="O286" s="119"/>
      <c r="P286" s="119"/>
    </row>
    <row r="287" spans="3:16" x14ac:dyDescent="0.2">
      <c r="C287" s="119"/>
      <c r="D287" s="119"/>
      <c r="E287" s="119"/>
      <c r="F287" s="119"/>
      <c r="G287" s="119"/>
      <c r="H287" s="119"/>
      <c r="I287" s="143"/>
      <c r="J287" s="143"/>
      <c r="K287" s="119"/>
      <c r="L287" s="119"/>
      <c r="M287" s="119"/>
      <c r="N287" s="119"/>
      <c r="O287" s="119"/>
      <c r="P287" s="119"/>
    </row>
    <row r="288" spans="3:16" x14ac:dyDescent="0.2">
      <c r="C288" s="119"/>
      <c r="D288" s="119"/>
      <c r="E288" s="119"/>
      <c r="F288" s="119"/>
      <c r="G288" s="119"/>
      <c r="H288" s="119"/>
      <c r="I288" s="143"/>
      <c r="J288" s="143"/>
      <c r="K288" s="119"/>
      <c r="L288" s="119"/>
      <c r="M288" s="119"/>
      <c r="N288" s="119"/>
      <c r="O288" s="119"/>
      <c r="P288" s="119"/>
    </row>
    <row r="289" spans="3:16" x14ac:dyDescent="0.2">
      <c r="C289" s="119"/>
      <c r="D289" s="119"/>
      <c r="E289" s="119"/>
      <c r="F289" s="119"/>
      <c r="G289" s="119"/>
      <c r="H289" s="119"/>
      <c r="I289" s="143"/>
      <c r="J289" s="143"/>
      <c r="K289" s="119"/>
      <c r="L289" s="119"/>
      <c r="M289" s="119"/>
      <c r="N289" s="119"/>
      <c r="O289" s="119"/>
      <c r="P289" s="119"/>
    </row>
    <row r="290" spans="3:16" x14ac:dyDescent="0.2">
      <c r="C290" s="119"/>
      <c r="D290" s="119"/>
      <c r="E290" s="119"/>
      <c r="F290" s="119"/>
      <c r="G290" s="119"/>
      <c r="H290" s="119"/>
      <c r="I290" s="143"/>
      <c r="J290" s="143"/>
      <c r="K290" s="119"/>
      <c r="L290" s="119"/>
      <c r="M290" s="119"/>
      <c r="N290" s="119"/>
      <c r="O290" s="119"/>
      <c r="P290" s="119"/>
    </row>
    <row r="291" spans="3:16" x14ac:dyDescent="0.2">
      <c r="C291" s="119"/>
      <c r="D291" s="119"/>
      <c r="E291" s="119"/>
      <c r="F291" s="119"/>
      <c r="G291" s="119"/>
      <c r="H291" s="119"/>
      <c r="I291" s="143"/>
      <c r="J291" s="143"/>
      <c r="K291" s="119"/>
      <c r="L291" s="119"/>
      <c r="M291" s="119"/>
      <c r="N291" s="119"/>
      <c r="O291" s="119"/>
      <c r="P291" s="119"/>
    </row>
    <row r="292" spans="3:16" x14ac:dyDescent="0.2">
      <c r="C292" s="119"/>
      <c r="D292" s="119"/>
      <c r="E292" s="119"/>
      <c r="F292" s="119"/>
      <c r="G292" s="119"/>
      <c r="H292" s="119"/>
      <c r="I292" s="143"/>
      <c r="J292" s="143"/>
      <c r="K292" s="119"/>
      <c r="L292" s="119"/>
      <c r="M292" s="119"/>
      <c r="N292" s="119"/>
      <c r="O292" s="119"/>
      <c r="P292" s="119"/>
    </row>
    <row r="293" spans="3:16" x14ac:dyDescent="0.2">
      <c r="C293" s="119"/>
      <c r="D293" s="119"/>
      <c r="E293" s="119"/>
      <c r="F293" s="119"/>
      <c r="G293" s="119"/>
      <c r="H293" s="119"/>
      <c r="I293" s="143"/>
      <c r="J293" s="143"/>
      <c r="K293" s="119"/>
      <c r="L293" s="119"/>
      <c r="M293" s="119"/>
      <c r="N293" s="119"/>
      <c r="O293" s="119"/>
      <c r="P293" s="119"/>
    </row>
    <row r="294" spans="3:16" x14ac:dyDescent="0.2">
      <c r="C294" s="119"/>
      <c r="D294" s="119"/>
      <c r="E294" s="119"/>
      <c r="F294" s="119"/>
      <c r="G294" s="119"/>
      <c r="H294" s="119"/>
      <c r="I294" s="143"/>
      <c r="J294" s="143"/>
      <c r="K294" s="119"/>
      <c r="L294" s="119"/>
      <c r="M294" s="119"/>
      <c r="N294" s="119"/>
      <c r="O294" s="119"/>
      <c r="P294" s="119"/>
    </row>
    <row r="295" spans="3:16" x14ac:dyDescent="0.2">
      <c r="C295" s="119"/>
      <c r="D295" s="119"/>
      <c r="E295" s="119"/>
      <c r="F295" s="119"/>
      <c r="G295" s="119"/>
      <c r="H295" s="119"/>
      <c r="I295" s="143"/>
      <c r="J295" s="143"/>
      <c r="K295" s="119"/>
      <c r="L295" s="119"/>
      <c r="M295" s="119"/>
      <c r="N295" s="119"/>
      <c r="O295" s="119"/>
      <c r="P295" s="119"/>
    </row>
    <row r="296" spans="3:16" x14ac:dyDescent="0.2">
      <c r="C296" s="119"/>
      <c r="D296" s="119"/>
      <c r="E296" s="119"/>
      <c r="F296" s="119"/>
      <c r="G296" s="119"/>
      <c r="H296" s="119"/>
      <c r="I296" s="143"/>
      <c r="J296" s="143"/>
      <c r="K296" s="119"/>
      <c r="L296" s="119"/>
      <c r="M296" s="119"/>
      <c r="N296" s="119"/>
      <c r="O296" s="119"/>
      <c r="P296" s="119"/>
    </row>
    <row r="297" spans="3:16" x14ac:dyDescent="0.2">
      <c r="C297" s="119"/>
      <c r="D297" s="119"/>
      <c r="E297" s="119"/>
      <c r="F297" s="119"/>
      <c r="G297" s="119"/>
      <c r="H297" s="119"/>
      <c r="I297" s="143"/>
      <c r="J297" s="143"/>
      <c r="K297" s="119"/>
      <c r="L297" s="119"/>
      <c r="M297" s="119"/>
      <c r="N297" s="119"/>
      <c r="O297" s="119"/>
      <c r="P297" s="119"/>
    </row>
    <row r="298" spans="3:16" x14ac:dyDescent="0.2">
      <c r="C298" s="119"/>
      <c r="D298" s="119"/>
      <c r="E298" s="119"/>
      <c r="F298" s="119"/>
      <c r="G298" s="119"/>
      <c r="H298" s="119"/>
      <c r="I298" s="143"/>
      <c r="J298" s="143"/>
      <c r="K298" s="119"/>
      <c r="L298" s="119"/>
      <c r="M298" s="119"/>
      <c r="N298" s="119"/>
      <c r="O298" s="119"/>
      <c r="P298" s="119"/>
    </row>
    <row r="299" spans="3:16" x14ac:dyDescent="0.2">
      <c r="C299" s="119"/>
      <c r="D299" s="119"/>
      <c r="E299" s="119"/>
      <c r="F299" s="119"/>
      <c r="G299" s="119"/>
      <c r="H299" s="119"/>
      <c r="I299" s="143"/>
      <c r="J299" s="143"/>
      <c r="K299" s="119"/>
      <c r="L299" s="119"/>
      <c r="M299" s="119"/>
      <c r="N299" s="119"/>
      <c r="O299" s="119"/>
      <c r="P299" s="119"/>
    </row>
    <row r="300" spans="3:16" x14ac:dyDescent="0.2">
      <c r="C300" s="119"/>
      <c r="D300" s="119"/>
      <c r="E300" s="119"/>
      <c r="F300" s="119"/>
      <c r="G300" s="119"/>
      <c r="H300" s="119"/>
      <c r="I300" s="143"/>
      <c r="J300" s="143"/>
      <c r="K300" s="119"/>
      <c r="L300" s="119"/>
      <c r="M300" s="119"/>
      <c r="N300" s="119"/>
      <c r="O300" s="119"/>
      <c r="P300" s="119"/>
    </row>
    <row r="301" spans="3:16" x14ac:dyDescent="0.2">
      <c r="C301" s="119"/>
      <c r="D301" s="119"/>
      <c r="E301" s="119"/>
      <c r="F301" s="119"/>
      <c r="G301" s="119"/>
      <c r="H301" s="119"/>
      <c r="I301" s="143"/>
      <c r="J301" s="143"/>
      <c r="K301" s="119"/>
      <c r="L301" s="119"/>
      <c r="M301" s="119"/>
      <c r="N301" s="119"/>
      <c r="O301" s="119"/>
      <c r="P301" s="119"/>
    </row>
    <row r="302" spans="3:16" x14ac:dyDescent="0.2">
      <c r="C302" s="119"/>
      <c r="D302" s="119"/>
      <c r="E302" s="119"/>
      <c r="F302" s="119"/>
      <c r="G302" s="119"/>
      <c r="H302" s="119"/>
      <c r="I302" s="143"/>
      <c r="J302" s="143"/>
      <c r="K302" s="119"/>
      <c r="L302" s="119"/>
      <c r="M302" s="119"/>
      <c r="N302" s="119"/>
      <c r="O302" s="119"/>
      <c r="P302" s="119"/>
    </row>
    <row r="303" spans="3:16" x14ac:dyDescent="0.2">
      <c r="C303" s="119"/>
      <c r="D303" s="119"/>
      <c r="E303" s="119"/>
      <c r="F303" s="119"/>
      <c r="G303" s="119"/>
      <c r="H303" s="119"/>
      <c r="I303" s="143"/>
      <c r="J303" s="143"/>
      <c r="K303" s="119"/>
      <c r="L303" s="119"/>
      <c r="M303" s="119"/>
      <c r="N303" s="119"/>
      <c r="O303" s="119"/>
      <c r="P303" s="119"/>
    </row>
    <row r="304" spans="3:16" x14ac:dyDescent="0.2">
      <c r="C304" s="119"/>
      <c r="D304" s="119"/>
      <c r="E304" s="119"/>
      <c r="F304" s="119"/>
      <c r="G304" s="119"/>
      <c r="H304" s="119"/>
      <c r="I304" s="143"/>
      <c r="J304" s="143"/>
      <c r="K304" s="119"/>
      <c r="L304" s="119"/>
      <c r="M304" s="119"/>
      <c r="N304" s="119"/>
      <c r="O304" s="119"/>
      <c r="P304" s="119"/>
    </row>
    <row r="305" spans="3:16" x14ac:dyDescent="0.2">
      <c r="C305" s="119"/>
      <c r="D305" s="119"/>
      <c r="E305" s="119"/>
      <c r="F305" s="119"/>
      <c r="G305" s="119"/>
      <c r="H305" s="119"/>
      <c r="I305" s="143"/>
      <c r="J305" s="143"/>
      <c r="K305" s="119"/>
      <c r="L305" s="119"/>
      <c r="M305" s="119"/>
      <c r="N305" s="119"/>
      <c r="O305" s="119"/>
      <c r="P305" s="119"/>
    </row>
    <row r="306" spans="3:16" x14ac:dyDescent="0.2">
      <c r="C306" s="119"/>
      <c r="D306" s="119"/>
      <c r="E306" s="119"/>
      <c r="F306" s="119"/>
      <c r="G306" s="119"/>
      <c r="H306" s="119"/>
      <c r="I306" s="143"/>
      <c r="J306" s="143"/>
      <c r="K306" s="119"/>
      <c r="L306" s="119"/>
      <c r="M306" s="119"/>
      <c r="N306" s="119"/>
      <c r="O306" s="119"/>
      <c r="P306" s="119"/>
    </row>
    <row r="307" spans="3:16" x14ac:dyDescent="0.2">
      <c r="C307" s="119"/>
      <c r="D307" s="119"/>
      <c r="E307" s="119"/>
      <c r="F307" s="119"/>
      <c r="G307" s="119"/>
      <c r="H307" s="119"/>
      <c r="I307" s="143"/>
      <c r="J307" s="143"/>
      <c r="K307" s="119"/>
      <c r="L307" s="119"/>
      <c r="M307" s="119"/>
      <c r="N307" s="119"/>
      <c r="O307" s="119"/>
      <c r="P307" s="119"/>
    </row>
    <row r="308" spans="3:16" x14ac:dyDescent="0.2">
      <c r="C308" s="119"/>
      <c r="D308" s="119"/>
      <c r="E308" s="119"/>
      <c r="F308" s="119"/>
      <c r="G308" s="119"/>
      <c r="H308" s="119"/>
      <c r="I308" s="143"/>
      <c r="J308" s="143"/>
      <c r="K308" s="119"/>
      <c r="L308" s="119"/>
      <c r="M308" s="119"/>
      <c r="N308" s="119"/>
      <c r="O308" s="119"/>
      <c r="P308" s="119"/>
    </row>
    <row r="309" spans="3:16" x14ac:dyDescent="0.2">
      <c r="C309" s="119"/>
      <c r="D309" s="119"/>
      <c r="E309" s="119"/>
      <c r="F309" s="119"/>
      <c r="G309" s="119"/>
      <c r="H309" s="119"/>
      <c r="I309" s="143"/>
      <c r="J309" s="143"/>
      <c r="K309" s="119"/>
      <c r="L309" s="119"/>
      <c r="M309" s="119"/>
      <c r="N309" s="119"/>
      <c r="O309" s="119"/>
      <c r="P309" s="119"/>
    </row>
    <row r="310" spans="3:16" x14ac:dyDescent="0.2">
      <c r="C310" s="119"/>
      <c r="D310" s="119"/>
      <c r="E310" s="119"/>
      <c r="F310" s="119"/>
      <c r="G310" s="119"/>
      <c r="H310" s="119"/>
      <c r="I310" s="143"/>
      <c r="J310" s="143"/>
      <c r="K310" s="119"/>
      <c r="L310" s="119"/>
      <c r="M310" s="119"/>
      <c r="N310" s="119"/>
      <c r="O310" s="119"/>
      <c r="P310" s="119"/>
    </row>
    <row r="311" spans="3:16" x14ac:dyDescent="0.2">
      <c r="C311" s="119"/>
      <c r="D311" s="119"/>
      <c r="E311" s="119"/>
      <c r="F311" s="119"/>
      <c r="G311" s="119"/>
      <c r="H311" s="119"/>
      <c r="I311" s="143"/>
      <c r="J311" s="143"/>
      <c r="K311" s="119"/>
      <c r="L311" s="119"/>
      <c r="M311" s="119"/>
      <c r="N311" s="119"/>
      <c r="O311" s="119"/>
      <c r="P311" s="119"/>
    </row>
    <row r="312" spans="3:16" x14ac:dyDescent="0.2">
      <c r="C312" s="119"/>
      <c r="D312" s="119"/>
      <c r="E312" s="119"/>
      <c r="F312" s="119"/>
      <c r="G312" s="119"/>
      <c r="H312" s="119"/>
      <c r="I312" s="143"/>
      <c r="J312" s="143"/>
      <c r="K312" s="119"/>
      <c r="L312" s="119"/>
      <c r="M312" s="119"/>
      <c r="N312" s="119"/>
      <c r="O312" s="119"/>
      <c r="P312" s="119"/>
    </row>
    <row r="313" spans="3:16" x14ac:dyDescent="0.2">
      <c r="C313" s="119"/>
      <c r="D313" s="119"/>
      <c r="E313" s="119"/>
      <c r="F313" s="119"/>
      <c r="G313" s="119"/>
      <c r="H313" s="119"/>
      <c r="I313" s="143"/>
      <c r="J313" s="143"/>
      <c r="K313" s="119"/>
      <c r="L313" s="119"/>
      <c r="M313" s="119"/>
      <c r="N313" s="119"/>
      <c r="O313" s="119"/>
      <c r="P313" s="119"/>
    </row>
    <row r="314" spans="3:16" x14ac:dyDescent="0.2">
      <c r="C314" s="119"/>
      <c r="D314" s="119"/>
      <c r="E314" s="119"/>
      <c r="F314" s="119"/>
      <c r="G314" s="119"/>
      <c r="H314" s="119"/>
      <c r="I314" s="143"/>
      <c r="J314" s="143"/>
      <c r="K314" s="119"/>
      <c r="L314" s="119"/>
      <c r="M314" s="119"/>
      <c r="N314" s="119"/>
      <c r="O314" s="119"/>
      <c r="P314" s="119"/>
    </row>
    <row r="315" spans="3:16" x14ac:dyDescent="0.2">
      <c r="C315" s="119"/>
      <c r="D315" s="119"/>
      <c r="E315" s="119"/>
      <c r="F315" s="119"/>
      <c r="G315" s="119"/>
      <c r="H315" s="119"/>
      <c r="I315" s="143"/>
      <c r="J315" s="143"/>
      <c r="K315" s="119"/>
      <c r="L315" s="119"/>
      <c r="M315" s="119"/>
      <c r="N315" s="119"/>
      <c r="O315" s="119"/>
      <c r="P315" s="119"/>
    </row>
    <row r="316" spans="3:16" x14ac:dyDescent="0.2">
      <c r="C316" s="119"/>
      <c r="D316" s="119"/>
      <c r="E316" s="119"/>
      <c r="F316" s="119"/>
      <c r="G316" s="119"/>
      <c r="H316" s="119"/>
      <c r="I316" s="143"/>
      <c r="J316" s="143"/>
      <c r="K316" s="119"/>
      <c r="L316" s="119"/>
      <c r="M316" s="119"/>
      <c r="N316" s="119"/>
      <c r="O316" s="119"/>
      <c r="P316" s="119"/>
    </row>
    <row r="317" spans="3:16" x14ac:dyDescent="0.2">
      <c r="C317" s="119"/>
      <c r="D317" s="119"/>
      <c r="E317" s="119"/>
      <c r="F317" s="119"/>
      <c r="G317" s="119"/>
      <c r="H317" s="119"/>
      <c r="I317" s="143"/>
      <c r="J317" s="143"/>
      <c r="K317" s="119"/>
      <c r="L317" s="119"/>
      <c r="M317" s="119"/>
      <c r="N317" s="119"/>
      <c r="O317" s="119"/>
      <c r="P317" s="119"/>
    </row>
    <row r="318" spans="3:16" x14ac:dyDescent="0.2">
      <c r="C318" s="119"/>
      <c r="D318" s="119"/>
      <c r="E318" s="119"/>
      <c r="F318" s="119"/>
      <c r="G318" s="119"/>
      <c r="H318" s="119"/>
      <c r="I318" s="143"/>
      <c r="J318" s="143"/>
      <c r="K318" s="119"/>
      <c r="L318" s="119"/>
      <c r="M318" s="119"/>
      <c r="N318" s="119"/>
      <c r="O318" s="119"/>
      <c r="P318" s="119"/>
    </row>
    <row r="319" spans="3:16" x14ac:dyDescent="0.2">
      <c r="C319" s="119"/>
      <c r="D319" s="119"/>
      <c r="E319" s="119"/>
      <c r="F319" s="119"/>
      <c r="G319" s="119"/>
      <c r="H319" s="119"/>
      <c r="I319" s="143"/>
      <c r="J319" s="143"/>
      <c r="K319" s="119"/>
      <c r="L319" s="119"/>
      <c r="M319" s="119"/>
      <c r="N319" s="119"/>
      <c r="O319" s="119"/>
      <c r="P319" s="119"/>
    </row>
    <row r="320" spans="3:16" x14ac:dyDescent="0.2">
      <c r="C320" s="119"/>
      <c r="D320" s="119"/>
      <c r="E320" s="119"/>
      <c r="F320" s="119"/>
      <c r="G320" s="119"/>
      <c r="H320" s="119"/>
      <c r="I320" s="143"/>
      <c r="J320" s="143"/>
      <c r="K320" s="119"/>
      <c r="L320" s="119"/>
      <c r="M320" s="119"/>
      <c r="N320" s="119"/>
      <c r="O320" s="119"/>
      <c r="P320" s="119"/>
    </row>
    <row r="321" spans="3:16" x14ac:dyDescent="0.2">
      <c r="C321" s="119"/>
      <c r="D321" s="119"/>
      <c r="E321" s="119"/>
      <c r="F321" s="119"/>
      <c r="G321" s="119"/>
      <c r="H321" s="119"/>
      <c r="I321" s="143"/>
      <c r="J321" s="143"/>
      <c r="K321" s="119"/>
      <c r="L321" s="119"/>
      <c r="M321" s="119"/>
      <c r="N321" s="119"/>
      <c r="O321" s="119"/>
      <c r="P321" s="119"/>
    </row>
    <row r="322" spans="3:16" x14ac:dyDescent="0.2">
      <c r="C322" s="119"/>
      <c r="D322" s="119"/>
      <c r="E322" s="119"/>
      <c r="F322" s="119"/>
      <c r="G322" s="119"/>
      <c r="H322" s="119"/>
      <c r="I322" s="143"/>
      <c r="J322" s="143"/>
      <c r="K322" s="119"/>
      <c r="L322" s="119"/>
      <c r="M322" s="119"/>
      <c r="N322" s="119"/>
      <c r="O322" s="119"/>
      <c r="P322" s="119"/>
    </row>
    <row r="323" spans="3:16" x14ac:dyDescent="0.2">
      <c r="C323" s="119"/>
      <c r="D323" s="119"/>
      <c r="E323" s="119"/>
      <c r="F323" s="119"/>
      <c r="G323" s="119"/>
      <c r="H323" s="119"/>
      <c r="I323" s="143"/>
      <c r="J323" s="143"/>
      <c r="K323" s="119"/>
      <c r="L323" s="119"/>
      <c r="M323" s="119"/>
      <c r="N323" s="119"/>
      <c r="O323" s="119"/>
      <c r="P323" s="119"/>
    </row>
    <row r="324" spans="3:16" x14ac:dyDescent="0.2">
      <c r="C324" s="119"/>
      <c r="D324" s="119"/>
      <c r="E324" s="119"/>
      <c r="F324" s="119"/>
      <c r="G324" s="119"/>
      <c r="H324" s="119"/>
      <c r="I324" s="143"/>
      <c r="J324" s="143"/>
      <c r="K324" s="119"/>
      <c r="L324" s="119"/>
      <c r="M324" s="119"/>
      <c r="N324" s="119"/>
      <c r="O324" s="119"/>
      <c r="P324" s="119"/>
    </row>
    <row r="325" spans="3:16" x14ac:dyDescent="0.2">
      <c r="C325" s="119"/>
      <c r="D325" s="119"/>
      <c r="E325" s="119"/>
      <c r="F325" s="119"/>
      <c r="G325" s="119"/>
      <c r="H325" s="119"/>
      <c r="I325" s="143"/>
      <c r="J325" s="143"/>
      <c r="K325" s="119"/>
      <c r="L325" s="119"/>
      <c r="M325" s="119"/>
      <c r="N325" s="119"/>
      <c r="O325" s="119"/>
      <c r="P325" s="119"/>
    </row>
    <row r="326" spans="3:16" x14ac:dyDescent="0.2">
      <c r="C326" s="119"/>
      <c r="D326" s="119"/>
      <c r="E326" s="119"/>
      <c r="F326" s="119"/>
      <c r="G326" s="119"/>
      <c r="H326" s="119"/>
      <c r="I326" s="143"/>
      <c r="J326" s="143"/>
      <c r="K326" s="119"/>
      <c r="L326" s="119"/>
      <c r="M326" s="119"/>
      <c r="N326" s="119"/>
      <c r="O326" s="119"/>
      <c r="P326" s="119"/>
    </row>
    <row r="327" spans="3:16" x14ac:dyDescent="0.2">
      <c r="C327" s="119"/>
      <c r="D327" s="119"/>
      <c r="E327" s="119"/>
      <c r="F327" s="119"/>
      <c r="G327" s="119"/>
      <c r="H327" s="119"/>
      <c r="I327" s="143"/>
      <c r="J327" s="143"/>
      <c r="K327" s="119"/>
      <c r="L327" s="119"/>
      <c r="M327" s="119"/>
      <c r="N327" s="119"/>
      <c r="O327" s="119"/>
      <c r="P327" s="119"/>
    </row>
    <row r="328" spans="3:16" x14ac:dyDescent="0.2">
      <c r="C328" s="119"/>
      <c r="D328" s="119"/>
      <c r="E328" s="119"/>
      <c r="F328" s="119"/>
      <c r="G328" s="119"/>
      <c r="H328" s="119"/>
      <c r="I328" s="143"/>
      <c r="J328" s="143"/>
      <c r="K328" s="119"/>
      <c r="L328" s="119"/>
      <c r="M328" s="119"/>
      <c r="N328" s="119"/>
      <c r="O328" s="119"/>
      <c r="P328" s="119"/>
    </row>
    <row r="329" spans="3:16" x14ac:dyDescent="0.2">
      <c r="C329" s="119"/>
      <c r="D329" s="119"/>
      <c r="E329" s="119"/>
      <c r="F329" s="119"/>
      <c r="G329" s="119"/>
      <c r="H329" s="119"/>
      <c r="I329" s="143"/>
      <c r="J329" s="143"/>
      <c r="K329" s="119"/>
      <c r="L329" s="119"/>
      <c r="M329" s="119"/>
      <c r="N329" s="119"/>
      <c r="O329" s="119"/>
      <c r="P329" s="119"/>
    </row>
    <row r="330" spans="3:16" x14ac:dyDescent="0.2">
      <c r="C330" s="119"/>
      <c r="D330" s="119"/>
      <c r="E330" s="119"/>
      <c r="F330" s="119"/>
      <c r="G330" s="119"/>
      <c r="H330" s="119"/>
      <c r="I330" s="143"/>
      <c r="J330" s="143"/>
      <c r="K330" s="119"/>
      <c r="L330" s="119"/>
      <c r="M330" s="119"/>
      <c r="N330" s="119"/>
      <c r="O330" s="119"/>
      <c r="P330" s="119"/>
    </row>
    <row r="331" spans="3:16" x14ac:dyDescent="0.2">
      <c r="C331" s="119"/>
      <c r="D331" s="119"/>
      <c r="E331" s="119"/>
      <c r="F331" s="119"/>
      <c r="G331" s="119"/>
      <c r="H331" s="119"/>
      <c r="I331" s="143"/>
      <c r="J331" s="143"/>
      <c r="K331" s="119"/>
      <c r="L331" s="119"/>
      <c r="M331" s="119"/>
      <c r="N331" s="119"/>
      <c r="O331" s="119"/>
      <c r="P331" s="119"/>
    </row>
    <row r="332" spans="3:16" x14ac:dyDescent="0.2">
      <c r="C332" s="119"/>
      <c r="D332" s="119"/>
      <c r="E332" s="119"/>
      <c r="F332" s="119"/>
      <c r="G332" s="119"/>
      <c r="H332" s="119"/>
      <c r="I332" s="143"/>
      <c r="J332" s="143"/>
      <c r="K332" s="119"/>
      <c r="L332" s="119"/>
      <c r="M332" s="119"/>
      <c r="N332" s="119"/>
      <c r="O332" s="119"/>
      <c r="P332" s="119"/>
    </row>
    <row r="333" spans="3:16" x14ac:dyDescent="0.2">
      <c r="C333" s="119"/>
      <c r="D333" s="119"/>
      <c r="E333" s="119"/>
      <c r="F333" s="119"/>
      <c r="G333" s="119"/>
      <c r="H333" s="119"/>
      <c r="I333" s="143"/>
      <c r="J333" s="143"/>
      <c r="K333" s="119"/>
      <c r="L333" s="119"/>
      <c r="M333" s="119"/>
      <c r="N333" s="119"/>
      <c r="O333" s="119"/>
      <c r="P333" s="119"/>
    </row>
    <row r="334" spans="3:16" x14ac:dyDescent="0.2">
      <c r="C334" s="119"/>
      <c r="D334" s="119"/>
      <c r="E334" s="119"/>
      <c r="F334" s="119"/>
      <c r="G334" s="119"/>
      <c r="H334" s="119"/>
      <c r="I334" s="143"/>
      <c r="J334" s="143"/>
      <c r="K334" s="119"/>
      <c r="L334" s="119"/>
      <c r="M334" s="119"/>
      <c r="N334" s="119"/>
      <c r="O334" s="119"/>
      <c r="P334" s="119"/>
    </row>
    <row r="335" spans="3:16" x14ac:dyDescent="0.2">
      <c r="C335" s="119"/>
      <c r="D335" s="119"/>
      <c r="E335" s="119"/>
      <c r="F335" s="119"/>
      <c r="G335" s="119"/>
      <c r="H335" s="119"/>
      <c r="I335" s="143"/>
      <c r="J335" s="143"/>
      <c r="K335" s="119"/>
      <c r="L335" s="119"/>
      <c r="M335" s="119"/>
      <c r="N335" s="119"/>
      <c r="O335" s="119"/>
      <c r="P335" s="119"/>
    </row>
    <row r="336" spans="3:16" x14ac:dyDescent="0.2">
      <c r="C336" s="119"/>
      <c r="D336" s="119"/>
      <c r="E336" s="119"/>
      <c r="F336" s="119"/>
      <c r="G336" s="119"/>
      <c r="H336" s="119"/>
      <c r="I336" s="143"/>
      <c r="J336" s="143"/>
      <c r="K336" s="119"/>
      <c r="L336" s="119"/>
      <c r="M336" s="119"/>
      <c r="N336" s="119"/>
      <c r="O336" s="119"/>
      <c r="P336" s="119"/>
    </row>
    <row r="337" spans="3:16" x14ac:dyDescent="0.2">
      <c r="C337" s="119"/>
      <c r="D337" s="119"/>
      <c r="E337" s="119"/>
      <c r="F337" s="119"/>
      <c r="G337" s="119"/>
      <c r="H337" s="119"/>
      <c r="I337" s="143"/>
      <c r="J337" s="143"/>
      <c r="K337" s="119"/>
      <c r="L337" s="119"/>
      <c r="M337" s="119"/>
      <c r="N337" s="119"/>
      <c r="O337" s="119"/>
      <c r="P337" s="119"/>
    </row>
    <row r="338" spans="3:16" x14ac:dyDescent="0.2">
      <c r="C338" s="119"/>
      <c r="D338" s="119"/>
      <c r="E338" s="119"/>
      <c r="F338" s="119"/>
      <c r="G338" s="119"/>
      <c r="H338" s="119"/>
      <c r="I338" s="143"/>
      <c r="J338" s="143"/>
      <c r="K338" s="119"/>
      <c r="L338" s="119"/>
      <c r="M338" s="119"/>
      <c r="N338" s="119"/>
      <c r="O338" s="119"/>
      <c r="P338" s="119"/>
    </row>
    <row r="339" spans="3:16" x14ac:dyDescent="0.2">
      <c r="C339" s="119"/>
      <c r="D339" s="119"/>
      <c r="E339" s="119"/>
      <c r="F339" s="119"/>
      <c r="G339" s="119"/>
      <c r="H339" s="119"/>
      <c r="I339" s="143"/>
      <c r="J339" s="143"/>
      <c r="K339" s="119"/>
      <c r="L339" s="119"/>
      <c r="M339" s="119"/>
      <c r="N339" s="119"/>
      <c r="O339" s="119"/>
      <c r="P339" s="119"/>
    </row>
    <row r="340" spans="3:16" x14ac:dyDescent="0.2">
      <c r="C340" s="119"/>
      <c r="D340" s="119"/>
      <c r="E340" s="119"/>
      <c r="F340" s="119"/>
      <c r="G340" s="119"/>
      <c r="H340" s="119"/>
      <c r="I340" s="143"/>
      <c r="J340" s="143"/>
      <c r="K340" s="119"/>
      <c r="L340" s="119"/>
      <c r="M340" s="119"/>
      <c r="N340" s="119"/>
      <c r="O340" s="119"/>
      <c r="P340" s="119"/>
    </row>
    <row r="341" spans="3:16" x14ac:dyDescent="0.2">
      <c r="C341" s="119"/>
      <c r="D341" s="119"/>
      <c r="E341" s="119"/>
      <c r="F341" s="119"/>
      <c r="G341" s="119"/>
      <c r="H341" s="119"/>
      <c r="I341" s="143"/>
      <c r="J341" s="143"/>
      <c r="K341" s="119"/>
      <c r="L341" s="119"/>
      <c r="M341" s="119"/>
      <c r="N341" s="119"/>
      <c r="O341" s="119"/>
      <c r="P341" s="119"/>
    </row>
    <row r="342" spans="3:16" x14ac:dyDescent="0.2">
      <c r="C342" s="119"/>
      <c r="D342" s="119"/>
      <c r="E342" s="119"/>
      <c r="F342" s="119"/>
      <c r="G342" s="119"/>
      <c r="H342" s="119"/>
      <c r="I342" s="143"/>
      <c r="J342" s="143"/>
      <c r="K342" s="119"/>
      <c r="L342" s="119"/>
      <c r="M342" s="119"/>
      <c r="N342" s="119"/>
      <c r="O342" s="119"/>
      <c r="P342" s="119"/>
    </row>
    <row r="343" spans="3:16" x14ac:dyDescent="0.2">
      <c r="C343" s="119"/>
      <c r="D343" s="119"/>
      <c r="E343" s="119"/>
      <c r="F343" s="119"/>
      <c r="G343" s="119"/>
      <c r="H343" s="119"/>
      <c r="I343" s="143"/>
      <c r="J343" s="143"/>
      <c r="K343" s="119"/>
      <c r="L343" s="119"/>
      <c r="M343" s="119"/>
      <c r="N343" s="119"/>
      <c r="O343" s="119"/>
      <c r="P343" s="119"/>
    </row>
    <row r="344" spans="3:16" x14ac:dyDescent="0.2">
      <c r="C344" s="119"/>
      <c r="D344" s="119"/>
      <c r="E344" s="119"/>
      <c r="F344" s="119"/>
      <c r="G344" s="119"/>
      <c r="H344" s="119"/>
      <c r="I344" s="143"/>
      <c r="J344" s="143"/>
      <c r="K344" s="119"/>
      <c r="L344" s="119"/>
      <c r="M344" s="119"/>
      <c r="N344" s="119"/>
      <c r="O344" s="119"/>
      <c r="P344" s="119"/>
    </row>
    <row r="345" spans="3:16" x14ac:dyDescent="0.2">
      <c r="C345" s="119"/>
      <c r="D345" s="119"/>
      <c r="E345" s="119"/>
      <c r="F345" s="119"/>
      <c r="G345" s="119"/>
      <c r="H345" s="119"/>
      <c r="I345" s="143"/>
      <c r="J345" s="143"/>
      <c r="K345" s="119"/>
      <c r="L345" s="119"/>
      <c r="M345" s="119"/>
      <c r="N345" s="119"/>
      <c r="O345" s="119"/>
      <c r="P345" s="119"/>
    </row>
    <row r="346" spans="3:16" x14ac:dyDescent="0.2">
      <c r="C346" s="119"/>
      <c r="D346" s="119"/>
      <c r="E346" s="119"/>
      <c r="F346" s="119"/>
      <c r="G346" s="119"/>
      <c r="H346" s="119"/>
      <c r="I346" s="143"/>
      <c r="J346" s="143"/>
      <c r="K346" s="119"/>
      <c r="L346" s="119"/>
      <c r="M346" s="119"/>
      <c r="N346" s="119"/>
      <c r="O346" s="119"/>
      <c r="P346" s="119"/>
    </row>
    <row r="347" spans="3:16" x14ac:dyDescent="0.2">
      <c r="C347" s="119"/>
      <c r="D347" s="119"/>
      <c r="E347" s="119"/>
      <c r="F347" s="119"/>
      <c r="G347" s="119"/>
      <c r="H347" s="119"/>
      <c r="I347" s="143"/>
      <c r="J347" s="143"/>
      <c r="K347" s="119"/>
      <c r="L347" s="119"/>
      <c r="M347" s="119"/>
      <c r="N347" s="119"/>
      <c r="O347" s="119"/>
      <c r="P347" s="119"/>
    </row>
    <row r="348" spans="3:16" x14ac:dyDescent="0.2">
      <c r="C348" s="119"/>
      <c r="D348" s="119"/>
      <c r="E348" s="119"/>
      <c r="F348" s="119"/>
      <c r="G348" s="119"/>
      <c r="H348" s="119"/>
      <c r="I348" s="143"/>
      <c r="J348" s="143"/>
      <c r="K348" s="119"/>
      <c r="L348" s="119"/>
      <c r="M348" s="119"/>
      <c r="N348" s="119"/>
      <c r="O348" s="119"/>
      <c r="P348" s="119"/>
    </row>
    <row r="349" spans="3:16" x14ac:dyDescent="0.2">
      <c r="C349" s="119"/>
      <c r="D349" s="119"/>
      <c r="E349" s="119"/>
      <c r="F349" s="119"/>
      <c r="G349" s="119"/>
      <c r="H349" s="119"/>
      <c r="I349" s="143"/>
      <c r="J349" s="143"/>
      <c r="K349" s="119"/>
      <c r="L349" s="119"/>
      <c r="M349" s="119"/>
      <c r="N349" s="119"/>
      <c r="O349" s="119"/>
      <c r="P349" s="119"/>
    </row>
    <row r="350" spans="3:16" x14ac:dyDescent="0.2">
      <c r="C350" s="119"/>
      <c r="D350" s="119"/>
      <c r="E350" s="119"/>
      <c r="F350" s="119"/>
      <c r="G350" s="119"/>
      <c r="H350" s="119"/>
      <c r="I350" s="143"/>
      <c r="J350" s="143"/>
      <c r="K350" s="119"/>
      <c r="L350" s="119"/>
      <c r="M350" s="119"/>
      <c r="N350" s="119"/>
      <c r="O350" s="119"/>
      <c r="P350" s="119"/>
    </row>
    <row r="351" spans="3:16" x14ac:dyDescent="0.2">
      <c r="C351" s="119"/>
      <c r="D351" s="119"/>
      <c r="E351" s="119"/>
      <c r="F351" s="119"/>
      <c r="G351" s="119"/>
      <c r="H351" s="119"/>
      <c r="I351" s="143"/>
      <c r="J351" s="143"/>
      <c r="K351" s="119"/>
      <c r="L351" s="119"/>
      <c r="M351" s="119"/>
      <c r="N351" s="119"/>
      <c r="O351" s="119"/>
      <c r="P351" s="119"/>
    </row>
    <row r="352" spans="3:16" x14ac:dyDescent="0.2">
      <c r="C352" s="119"/>
      <c r="D352" s="119"/>
      <c r="E352" s="119"/>
      <c r="F352" s="119"/>
      <c r="G352" s="119"/>
      <c r="H352" s="119"/>
      <c r="I352" s="143"/>
      <c r="J352" s="143"/>
      <c r="K352" s="119"/>
      <c r="L352" s="119"/>
      <c r="M352" s="119"/>
      <c r="N352" s="119"/>
      <c r="O352" s="119"/>
      <c r="P352" s="119"/>
    </row>
    <row r="353" spans="3:16" x14ac:dyDescent="0.2">
      <c r="C353" s="119"/>
      <c r="D353" s="119"/>
      <c r="E353" s="119"/>
      <c r="F353" s="119"/>
      <c r="G353" s="119"/>
      <c r="H353" s="119"/>
      <c r="I353" s="143"/>
      <c r="J353" s="143"/>
      <c r="K353" s="119"/>
      <c r="L353" s="119"/>
      <c r="M353" s="119"/>
      <c r="N353" s="119"/>
      <c r="O353" s="119"/>
      <c r="P353" s="119"/>
    </row>
    <row r="354" spans="3:16" x14ac:dyDescent="0.2">
      <c r="C354" s="119"/>
      <c r="D354" s="119"/>
      <c r="E354" s="119"/>
      <c r="F354" s="119"/>
      <c r="G354" s="119"/>
      <c r="H354" s="119"/>
      <c r="I354" s="143"/>
      <c r="J354" s="143"/>
      <c r="K354" s="119"/>
      <c r="L354" s="119"/>
      <c r="M354" s="119"/>
      <c r="N354" s="119"/>
      <c r="O354" s="119"/>
      <c r="P354" s="119"/>
    </row>
    <row r="355" spans="3:16" x14ac:dyDescent="0.2">
      <c r="C355" s="119"/>
      <c r="D355" s="119"/>
      <c r="E355" s="119"/>
      <c r="F355" s="119"/>
      <c r="G355" s="119"/>
      <c r="H355" s="119"/>
      <c r="I355" s="143"/>
      <c r="J355" s="143"/>
      <c r="K355" s="119"/>
      <c r="L355" s="119"/>
      <c r="M355" s="119"/>
      <c r="N355" s="119"/>
      <c r="O355" s="119"/>
      <c r="P355" s="119"/>
    </row>
    <row r="356" spans="3:16" x14ac:dyDescent="0.2">
      <c r="C356" s="119"/>
      <c r="D356" s="119"/>
      <c r="E356" s="119"/>
      <c r="F356" s="119"/>
      <c r="G356" s="119"/>
      <c r="H356" s="119"/>
      <c r="I356" s="143"/>
      <c r="J356" s="143"/>
      <c r="K356" s="119"/>
      <c r="L356" s="119"/>
      <c r="M356" s="119"/>
      <c r="N356" s="119"/>
      <c r="O356" s="119"/>
      <c r="P356" s="119"/>
    </row>
    <row r="357" spans="3:16" x14ac:dyDescent="0.2">
      <c r="C357" s="119"/>
      <c r="D357" s="119"/>
      <c r="E357" s="119"/>
      <c r="F357" s="119"/>
      <c r="G357" s="119"/>
      <c r="H357" s="119"/>
      <c r="I357" s="143"/>
      <c r="J357" s="143"/>
      <c r="K357" s="119"/>
      <c r="L357" s="119"/>
      <c r="M357" s="119"/>
      <c r="N357" s="119"/>
      <c r="O357" s="119"/>
      <c r="P357" s="119"/>
    </row>
    <row r="358" spans="3:16" x14ac:dyDescent="0.2">
      <c r="C358" s="119"/>
      <c r="D358" s="119"/>
      <c r="E358" s="119"/>
      <c r="F358" s="119"/>
      <c r="G358" s="119"/>
      <c r="H358" s="119"/>
      <c r="I358" s="143"/>
      <c r="J358" s="143"/>
      <c r="K358" s="119"/>
      <c r="L358" s="119"/>
      <c r="M358" s="119"/>
      <c r="N358" s="119"/>
      <c r="O358" s="119"/>
      <c r="P358" s="119"/>
    </row>
    <row r="359" spans="3:16" x14ac:dyDescent="0.2">
      <c r="C359" s="119"/>
      <c r="D359" s="119"/>
      <c r="E359" s="119"/>
      <c r="F359" s="119"/>
      <c r="G359" s="119"/>
      <c r="H359" s="119"/>
      <c r="I359" s="143"/>
      <c r="J359" s="143"/>
      <c r="K359" s="119"/>
      <c r="L359" s="119"/>
      <c r="M359" s="119"/>
      <c r="N359" s="119"/>
      <c r="O359" s="119"/>
      <c r="P359" s="119"/>
    </row>
    <row r="360" spans="3:16" x14ac:dyDescent="0.2">
      <c r="C360" s="119"/>
      <c r="D360" s="119"/>
      <c r="E360" s="119"/>
      <c r="F360" s="119"/>
      <c r="G360" s="119"/>
      <c r="H360" s="119"/>
      <c r="I360" s="143"/>
      <c r="J360" s="143"/>
      <c r="K360" s="119"/>
      <c r="L360" s="119"/>
      <c r="M360" s="119"/>
      <c r="N360" s="119"/>
      <c r="O360" s="119"/>
      <c r="P360" s="119"/>
    </row>
    <row r="361" spans="3:16" x14ac:dyDescent="0.2">
      <c r="C361" s="119"/>
      <c r="D361" s="119"/>
      <c r="E361" s="119"/>
      <c r="F361" s="119"/>
      <c r="G361" s="119"/>
      <c r="H361" s="119"/>
      <c r="I361" s="143"/>
      <c r="J361" s="143"/>
      <c r="K361" s="119"/>
      <c r="L361" s="119"/>
      <c r="M361" s="119"/>
      <c r="N361" s="119"/>
      <c r="O361" s="119"/>
      <c r="P361" s="119"/>
    </row>
    <row r="362" spans="3:16" x14ac:dyDescent="0.2">
      <c r="C362" s="119"/>
      <c r="D362" s="119"/>
      <c r="E362" s="119"/>
      <c r="F362" s="119"/>
      <c r="G362" s="119"/>
      <c r="H362" s="119"/>
      <c r="I362" s="143"/>
      <c r="J362" s="143"/>
      <c r="K362" s="119"/>
      <c r="L362" s="119"/>
      <c r="M362" s="119"/>
      <c r="N362" s="119"/>
      <c r="O362" s="119"/>
      <c r="P362" s="119"/>
    </row>
    <row r="363" spans="3:16" x14ac:dyDescent="0.2">
      <c r="C363" s="119"/>
      <c r="D363" s="119"/>
      <c r="E363" s="119"/>
      <c r="F363" s="119"/>
      <c r="G363" s="119"/>
      <c r="H363" s="119"/>
      <c r="I363" s="143"/>
      <c r="J363" s="143"/>
      <c r="K363" s="119"/>
      <c r="L363" s="119"/>
      <c r="M363" s="119"/>
      <c r="N363" s="119"/>
      <c r="O363" s="119"/>
      <c r="P363" s="119"/>
    </row>
    <row r="364" spans="3:16" x14ac:dyDescent="0.2">
      <c r="C364" s="119"/>
      <c r="D364" s="119"/>
      <c r="E364" s="119"/>
      <c r="F364" s="119"/>
      <c r="G364" s="119"/>
      <c r="H364" s="119"/>
      <c r="I364" s="143"/>
      <c r="J364" s="143"/>
      <c r="K364" s="119"/>
      <c r="L364" s="119"/>
      <c r="M364" s="119"/>
      <c r="N364" s="119"/>
      <c r="O364" s="119"/>
      <c r="P364" s="119"/>
    </row>
    <row r="365" spans="3:16" x14ac:dyDescent="0.2">
      <c r="C365" s="119"/>
      <c r="D365" s="119"/>
      <c r="E365" s="119"/>
      <c r="F365" s="119"/>
      <c r="G365" s="119"/>
      <c r="H365" s="119"/>
      <c r="I365" s="143"/>
      <c r="J365" s="143"/>
      <c r="K365" s="119"/>
      <c r="L365" s="119"/>
      <c r="M365" s="119"/>
      <c r="N365" s="119"/>
      <c r="O365" s="119"/>
      <c r="P365" s="119"/>
    </row>
    <row r="366" spans="3:16" x14ac:dyDescent="0.2">
      <c r="C366" s="119"/>
      <c r="D366" s="119"/>
      <c r="E366" s="119"/>
      <c r="F366" s="119"/>
      <c r="G366" s="119"/>
      <c r="H366" s="119"/>
      <c r="I366" s="143"/>
      <c r="J366" s="143"/>
      <c r="K366" s="119"/>
      <c r="L366" s="119"/>
      <c r="M366" s="119"/>
      <c r="N366" s="119"/>
      <c r="O366" s="119"/>
      <c r="P366" s="119"/>
    </row>
    <row r="367" spans="3:16" x14ac:dyDescent="0.2">
      <c r="C367" s="119"/>
      <c r="D367" s="119"/>
      <c r="E367" s="119"/>
      <c r="F367" s="119"/>
      <c r="G367" s="119"/>
      <c r="H367" s="119"/>
      <c r="I367" s="143"/>
      <c r="J367" s="143"/>
      <c r="K367" s="119"/>
      <c r="L367" s="119"/>
      <c r="M367" s="119"/>
      <c r="N367" s="119"/>
      <c r="O367" s="119"/>
      <c r="P367" s="119"/>
    </row>
    <row r="368" spans="3:16" x14ac:dyDescent="0.2">
      <c r="C368" s="119"/>
      <c r="D368" s="119"/>
      <c r="E368" s="119"/>
      <c r="F368" s="119"/>
      <c r="G368" s="119"/>
      <c r="H368" s="119"/>
      <c r="I368" s="143"/>
      <c r="J368" s="143"/>
      <c r="K368" s="119"/>
      <c r="L368" s="119"/>
      <c r="M368" s="119"/>
      <c r="N368" s="119"/>
      <c r="O368" s="119"/>
      <c r="P368" s="119"/>
    </row>
    <row r="369" spans="3:16" x14ac:dyDescent="0.2">
      <c r="C369" s="119"/>
      <c r="D369" s="119"/>
      <c r="E369" s="119"/>
      <c r="F369" s="119"/>
      <c r="G369" s="119"/>
      <c r="H369" s="119"/>
      <c r="I369" s="143"/>
      <c r="J369" s="143"/>
      <c r="K369" s="119"/>
      <c r="L369" s="119"/>
      <c r="M369" s="119"/>
      <c r="N369" s="119"/>
      <c r="O369" s="119"/>
      <c r="P369" s="119"/>
    </row>
    <row r="370" spans="3:16" x14ac:dyDescent="0.2">
      <c r="C370" s="119"/>
      <c r="D370" s="119"/>
      <c r="E370" s="119"/>
      <c r="F370" s="119"/>
      <c r="G370" s="119"/>
      <c r="H370" s="119"/>
      <c r="I370" s="143"/>
      <c r="J370" s="143"/>
      <c r="K370" s="119"/>
      <c r="L370" s="119"/>
      <c r="M370" s="119"/>
      <c r="N370" s="119"/>
      <c r="O370" s="119"/>
      <c r="P370" s="119"/>
    </row>
    <row r="371" spans="3:16" x14ac:dyDescent="0.2">
      <c r="C371" s="119"/>
      <c r="D371" s="119"/>
      <c r="E371" s="119"/>
      <c r="F371" s="119"/>
      <c r="G371" s="119"/>
      <c r="H371" s="119"/>
      <c r="I371" s="143"/>
      <c r="J371" s="143"/>
      <c r="K371" s="119"/>
      <c r="L371" s="119"/>
      <c r="M371" s="119"/>
      <c r="N371" s="119"/>
      <c r="O371" s="119"/>
      <c r="P371" s="119"/>
    </row>
    <row r="372" spans="3:16" x14ac:dyDescent="0.2">
      <c r="C372" s="119"/>
      <c r="D372" s="119"/>
      <c r="E372" s="119"/>
      <c r="F372" s="119"/>
      <c r="G372" s="119"/>
      <c r="H372" s="119"/>
      <c r="I372" s="143"/>
      <c r="J372" s="143"/>
      <c r="K372" s="119"/>
      <c r="L372" s="119"/>
      <c r="M372" s="119"/>
      <c r="N372" s="119"/>
      <c r="O372" s="119"/>
      <c r="P372" s="119"/>
    </row>
    <row r="373" spans="3:16" x14ac:dyDescent="0.2">
      <c r="C373" s="119"/>
      <c r="D373" s="119"/>
      <c r="E373" s="119"/>
      <c r="F373" s="119"/>
      <c r="G373" s="119"/>
      <c r="H373" s="119"/>
      <c r="I373" s="143"/>
      <c r="J373" s="143"/>
      <c r="K373" s="119"/>
      <c r="L373" s="119"/>
      <c r="M373" s="119"/>
      <c r="N373" s="119"/>
      <c r="O373" s="119"/>
      <c r="P373" s="119"/>
    </row>
    <row r="374" spans="3:16" x14ac:dyDescent="0.2">
      <c r="C374" s="119"/>
      <c r="D374" s="119"/>
      <c r="E374" s="119"/>
      <c r="F374" s="119"/>
      <c r="G374" s="119"/>
      <c r="H374" s="119"/>
      <c r="I374" s="143"/>
      <c r="J374" s="143"/>
      <c r="K374" s="119"/>
      <c r="L374" s="119"/>
      <c r="M374" s="119"/>
      <c r="N374" s="119"/>
      <c r="O374" s="119"/>
      <c r="P374" s="119"/>
    </row>
    <row r="375" spans="3:16" x14ac:dyDescent="0.2">
      <c r="C375" s="119"/>
      <c r="D375" s="119"/>
      <c r="E375" s="119"/>
      <c r="F375" s="119"/>
      <c r="G375" s="119"/>
      <c r="H375" s="119"/>
      <c r="I375" s="143"/>
      <c r="J375" s="143"/>
      <c r="K375" s="119"/>
      <c r="L375" s="119"/>
      <c r="M375" s="119"/>
      <c r="N375" s="119"/>
      <c r="O375" s="119"/>
      <c r="P375" s="119"/>
    </row>
    <row r="376" spans="3:16" x14ac:dyDescent="0.2">
      <c r="C376" s="119"/>
      <c r="D376" s="119"/>
      <c r="E376" s="119"/>
      <c r="F376" s="119"/>
      <c r="G376" s="119"/>
      <c r="H376" s="119"/>
      <c r="I376" s="143"/>
      <c r="J376" s="143"/>
      <c r="K376" s="119"/>
      <c r="L376" s="119"/>
      <c r="M376" s="119"/>
      <c r="N376" s="119"/>
      <c r="O376" s="119"/>
      <c r="P376" s="119"/>
    </row>
    <row r="377" spans="3:16" x14ac:dyDescent="0.2">
      <c r="C377" s="119"/>
      <c r="D377" s="119"/>
      <c r="E377" s="119"/>
      <c r="F377" s="119"/>
      <c r="G377" s="119"/>
      <c r="H377" s="119"/>
      <c r="I377" s="143"/>
      <c r="J377" s="143"/>
      <c r="K377" s="119"/>
      <c r="L377" s="119"/>
      <c r="M377" s="119"/>
      <c r="N377" s="119"/>
      <c r="O377" s="119"/>
      <c r="P377" s="119"/>
    </row>
    <row r="378" spans="3:16" x14ac:dyDescent="0.2">
      <c r="C378" s="119"/>
      <c r="D378" s="119"/>
      <c r="E378" s="119"/>
      <c r="F378" s="119"/>
      <c r="G378" s="119"/>
      <c r="H378" s="119"/>
      <c r="I378" s="143"/>
      <c r="J378" s="143"/>
      <c r="K378" s="119"/>
      <c r="L378" s="119"/>
      <c r="M378" s="119"/>
      <c r="N378" s="119"/>
      <c r="O378" s="119"/>
      <c r="P378" s="119"/>
    </row>
    <row r="379" spans="3:16" x14ac:dyDescent="0.2">
      <c r="C379" s="119"/>
      <c r="D379" s="119"/>
      <c r="E379" s="119"/>
      <c r="F379" s="119"/>
      <c r="G379" s="119"/>
      <c r="H379" s="119"/>
      <c r="I379" s="143"/>
      <c r="J379" s="143"/>
      <c r="K379" s="119"/>
      <c r="L379" s="119"/>
      <c r="M379" s="119"/>
      <c r="N379" s="119"/>
      <c r="O379" s="119"/>
      <c r="P379" s="119"/>
    </row>
    <row r="380" spans="3:16" x14ac:dyDescent="0.2">
      <c r="C380" s="119"/>
      <c r="D380" s="119"/>
      <c r="E380" s="119"/>
      <c r="F380" s="119"/>
      <c r="G380" s="119"/>
      <c r="H380" s="119"/>
      <c r="I380" s="143"/>
      <c r="J380" s="143"/>
      <c r="K380" s="119"/>
      <c r="L380" s="119"/>
      <c r="M380" s="119"/>
      <c r="N380" s="119"/>
      <c r="O380" s="119"/>
      <c r="P380" s="119"/>
    </row>
    <row r="381" spans="3:16" x14ac:dyDescent="0.2">
      <c r="C381" s="119"/>
      <c r="D381" s="119"/>
      <c r="E381" s="119"/>
      <c r="F381" s="119"/>
      <c r="G381" s="119"/>
      <c r="H381" s="119"/>
      <c r="I381" s="143"/>
      <c r="J381" s="143"/>
      <c r="K381" s="119"/>
      <c r="L381" s="119"/>
      <c r="M381" s="119"/>
      <c r="N381" s="119"/>
      <c r="O381" s="119"/>
      <c r="P381" s="119"/>
    </row>
    <row r="382" spans="3:16" x14ac:dyDescent="0.2">
      <c r="C382" s="119"/>
      <c r="D382" s="119"/>
      <c r="E382" s="119"/>
      <c r="F382" s="119"/>
      <c r="G382" s="119"/>
      <c r="H382" s="119"/>
      <c r="I382" s="143"/>
      <c r="J382" s="143"/>
      <c r="K382" s="119"/>
      <c r="L382" s="119"/>
      <c r="M382" s="119"/>
      <c r="N382" s="119"/>
      <c r="O382" s="119"/>
      <c r="P382" s="119"/>
    </row>
    <row r="383" spans="3:16" x14ac:dyDescent="0.2">
      <c r="C383" s="119"/>
      <c r="D383" s="119"/>
      <c r="E383" s="119"/>
      <c r="F383" s="119"/>
      <c r="G383" s="119"/>
      <c r="H383" s="119"/>
      <c r="I383" s="143"/>
      <c r="J383" s="143"/>
      <c r="K383" s="119"/>
      <c r="L383" s="119"/>
      <c r="M383" s="119"/>
      <c r="N383" s="119"/>
      <c r="O383" s="119"/>
      <c r="P383" s="119"/>
    </row>
    <row r="384" spans="3:16" x14ac:dyDescent="0.2">
      <c r="C384" s="119"/>
      <c r="D384" s="119"/>
      <c r="E384" s="119"/>
      <c r="F384" s="119"/>
      <c r="G384" s="119"/>
      <c r="H384" s="119"/>
      <c r="I384" s="143"/>
      <c r="J384" s="143"/>
      <c r="K384" s="119"/>
      <c r="L384" s="119"/>
      <c r="M384" s="119"/>
      <c r="N384" s="119"/>
      <c r="O384" s="119"/>
      <c r="P384" s="119"/>
    </row>
    <row r="385" spans="3:16" x14ac:dyDescent="0.2">
      <c r="C385" s="119"/>
      <c r="D385" s="119"/>
      <c r="E385" s="119"/>
      <c r="F385" s="119"/>
      <c r="G385" s="119"/>
      <c r="H385" s="119"/>
      <c r="I385" s="143"/>
      <c r="J385" s="143"/>
      <c r="K385" s="119"/>
      <c r="L385" s="119"/>
      <c r="M385" s="119"/>
      <c r="N385" s="119"/>
      <c r="O385" s="119"/>
      <c r="P385" s="119"/>
    </row>
    <row r="386" spans="3:16" x14ac:dyDescent="0.2">
      <c r="C386" s="119"/>
      <c r="D386" s="119"/>
      <c r="E386" s="119"/>
      <c r="F386" s="119"/>
      <c r="G386" s="119"/>
      <c r="H386" s="119"/>
      <c r="I386" s="143"/>
      <c r="J386" s="143"/>
      <c r="K386" s="119"/>
      <c r="L386" s="119"/>
      <c r="M386" s="119"/>
      <c r="N386" s="119"/>
      <c r="O386" s="119"/>
      <c r="P386" s="119"/>
    </row>
    <row r="387" spans="3:16" x14ac:dyDescent="0.2">
      <c r="C387" s="119"/>
      <c r="D387" s="119"/>
      <c r="E387" s="119"/>
      <c r="F387" s="119"/>
      <c r="G387" s="119"/>
      <c r="H387" s="119"/>
      <c r="I387" s="143"/>
      <c r="J387" s="143"/>
      <c r="K387" s="119"/>
      <c r="L387" s="119"/>
      <c r="M387" s="119"/>
      <c r="N387" s="119"/>
      <c r="O387" s="119"/>
      <c r="P387" s="119"/>
    </row>
    <row r="388" spans="3:16" x14ac:dyDescent="0.2">
      <c r="C388" s="119"/>
      <c r="D388" s="119"/>
      <c r="E388" s="119"/>
      <c r="F388" s="119"/>
      <c r="G388" s="119"/>
      <c r="H388" s="119"/>
      <c r="I388" s="143"/>
      <c r="J388" s="143"/>
      <c r="K388" s="119"/>
      <c r="L388" s="119"/>
      <c r="M388" s="119"/>
      <c r="N388" s="119"/>
      <c r="O388" s="119"/>
      <c r="P388" s="119"/>
    </row>
    <row r="389" spans="3:16" x14ac:dyDescent="0.2">
      <c r="C389" s="119"/>
      <c r="D389" s="119"/>
      <c r="E389" s="119"/>
      <c r="F389" s="119"/>
      <c r="G389" s="119"/>
      <c r="H389" s="119"/>
      <c r="I389" s="143"/>
      <c r="J389" s="143"/>
      <c r="K389" s="119"/>
      <c r="L389" s="119"/>
      <c r="M389" s="119"/>
      <c r="N389" s="119"/>
      <c r="O389" s="119"/>
      <c r="P389" s="119"/>
    </row>
    <row r="390" spans="3:16" x14ac:dyDescent="0.2">
      <c r="C390" s="119"/>
      <c r="D390" s="119"/>
      <c r="E390" s="119"/>
      <c r="F390" s="119"/>
      <c r="G390" s="119"/>
      <c r="H390" s="119"/>
      <c r="I390" s="143"/>
      <c r="J390" s="143"/>
      <c r="K390" s="119"/>
      <c r="L390" s="119"/>
      <c r="M390" s="119"/>
      <c r="N390" s="119"/>
      <c r="O390" s="119"/>
      <c r="P390" s="119"/>
    </row>
    <row r="391" spans="3:16" x14ac:dyDescent="0.2">
      <c r="C391" s="119"/>
      <c r="D391" s="119"/>
      <c r="E391" s="119"/>
      <c r="F391" s="119"/>
      <c r="G391" s="119"/>
      <c r="H391" s="119"/>
      <c r="I391" s="143"/>
      <c r="J391" s="143"/>
      <c r="K391" s="119"/>
      <c r="L391" s="119"/>
      <c r="M391" s="119"/>
      <c r="N391" s="119"/>
      <c r="O391" s="119"/>
      <c r="P391" s="119"/>
    </row>
    <row r="392" spans="3:16" x14ac:dyDescent="0.2">
      <c r="C392" s="119"/>
      <c r="D392" s="119"/>
      <c r="E392" s="119"/>
      <c r="F392" s="119"/>
      <c r="G392" s="119"/>
      <c r="H392" s="119"/>
      <c r="I392" s="143"/>
      <c r="J392" s="143"/>
      <c r="K392" s="119"/>
      <c r="L392" s="119"/>
      <c r="M392" s="119"/>
      <c r="N392" s="119"/>
      <c r="O392" s="119"/>
      <c r="P392" s="119"/>
    </row>
    <row r="393" spans="3:16" x14ac:dyDescent="0.2">
      <c r="C393" s="119"/>
      <c r="D393" s="119"/>
      <c r="E393" s="119"/>
      <c r="F393" s="119"/>
      <c r="G393" s="119"/>
      <c r="H393" s="119"/>
      <c r="I393" s="143"/>
      <c r="J393" s="143"/>
      <c r="K393" s="119"/>
      <c r="L393" s="119"/>
      <c r="M393" s="119"/>
      <c r="N393" s="119"/>
      <c r="O393" s="119"/>
      <c r="P393" s="119"/>
    </row>
    <row r="394" spans="3:16" x14ac:dyDescent="0.2">
      <c r="C394" s="119"/>
      <c r="D394" s="119"/>
      <c r="E394" s="119"/>
      <c r="F394" s="119"/>
      <c r="G394" s="119"/>
      <c r="H394" s="119"/>
      <c r="I394" s="143"/>
      <c r="J394" s="143"/>
      <c r="K394" s="119"/>
      <c r="L394" s="119"/>
      <c r="M394" s="119"/>
      <c r="N394" s="119"/>
      <c r="O394" s="119"/>
      <c r="P394" s="119"/>
    </row>
    <row r="395" spans="3:16" x14ac:dyDescent="0.2">
      <c r="C395" s="119"/>
      <c r="D395" s="119"/>
      <c r="E395" s="119"/>
      <c r="F395" s="119"/>
      <c r="G395" s="119"/>
      <c r="H395" s="119"/>
      <c r="I395" s="143"/>
      <c r="J395" s="143"/>
      <c r="K395" s="119"/>
      <c r="L395" s="119"/>
      <c r="M395" s="119"/>
      <c r="N395" s="119"/>
      <c r="O395" s="119"/>
      <c r="P395" s="119"/>
    </row>
    <row r="396" spans="3:16" x14ac:dyDescent="0.2">
      <c r="C396" s="119"/>
      <c r="D396" s="119"/>
      <c r="E396" s="119"/>
      <c r="F396" s="119"/>
      <c r="G396" s="119"/>
      <c r="H396" s="119"/>
      <c r="I396" s="143"/>
      <c r="J396" s="143"/>
      <c r="K396" s="119"/>
      <c r="L396" s="119"/>
      <c r="M396" s="119"/>
      <c r="N396" s="119"/>
      <c r="O396" s="119"/>
      <c r="P396" s="119"/>
    </row>
    <row r="397" spans="3:16" x14ac:dyDescent="0.2">
      <c r="C397" s="119"/>
      <c r="D397" s="119"/>
      <c r="E397" s="119"/>
      <c r="F397" s="119"/>
      <c r="G397" s="119"/>
      <c r="H397" s="119"/>
      <c r="I397" s="143"/>
      <c r="J397" s="143"/>
      <c r="K397" s="119"/>
      <c r="L397" s="119"/>
      <c r="M397" s="119"/>
      <c r="N397" s="119"/>
      <c r="O397" s="119"/>
      <c r="P397" s="119"/>
    </row>
    <row r="398" spans="3:16" x14ac:dyDescent="0.2">
      <c r="C398" s="119"/>
      <c r="D398" s="119"/>
      <c r="E398" s="119"/>
      <c r="F398" s="119"/>
      <c r="G398" s="119"/>
      <c r="H398" s="119"/>
      <c r="I398" s="143"/>
      <c r="J398" s="143"/>
      <c r="K398" s="119"/>
      <c r="L398" s="119"/>
      <c r="M398" s="119"/>
      <c r="N398" s="119"/>
      <c r="O398" s="119"/>
      <c r="P398" s="119"/>
    </row>
    <row r="399" spans="3:16" x14ac:dyDescent="0.2">
      <c r="C399" s="119"/>
      <c r="D399" s="119"/>
      <c r="E399" s="119"/>
      <c r="F399" s="119"/>
      <c r="G399" s="119"/>
      <c r="H399" s="119"/>
      <c r="I399" s="143"/>
      <c r="J399" s="143"/>
      <c r="K399" s="119"/>
      <c r="L399" s="119"/>
      <c r="M399" s="119"/>
      <c r="N399" s="119"/>
      <c r="O399" s="119"/>
      <c r="P399" s="119"/>
    </row>
    <row r="400" spans="3:16" x14ac:dyDescent="0.2">
      <c r="C400" s="119"/>
      <c r="D400" s="119"/>
      <c r="E400" s="119"/>
      <c r="F400" s="119"/>
      <c r="G400" s="119"/>
      <c r="H400" s="119"/>
      <c r="I400" s="143"/>
      <c r="J400" s="143"/>
      <c r="K400" s="119"/>
      <c r="L400" s="119"/>
      <c r="M400" s="119"/>
      <c r="N400" s="119"/>
      <c r="O400" s="119"/>
      <c r="P400" s="119"/>
    </row>
    <row r="401" spans="3:16" x14ac:dyDescent="0.2">
      <c r="C401" s="119"/>
      <c r="D401" s="119"/>
      <c r="E401" s="119"/>
      <c r="F401" s="119"/>
      <c r="G401" s="119"/>
      <c r="H401" s="119"/>
      <c r="I401" s="143"/>
      <c r="J401" s="143"/>
      <c r="K401" s="119"/>
      <c r="L401" s="119"/>
      <c r="M401" s="119"/>
      <c r="N401" s="119"/>
      <c r="O401" s="119"/>
      <c r="P401" s="119"/>
    </row>
    <row r="402" spans="3:16" x14ac:dyDescent="0.2">
      <c r="C402" s="119"/>
      <c r="D402" s="119"/>
      <c r="E402" s="119"/>
      <c r="F402" s="119"/>
      <c r="G402" s="119"/>
      <c r="H402" s="119"/>
      <c r="I402" s="143"/>
      <c r="J402" s="143"/>
      <c r="K402" s="119"/>
      <c r="L402" s="119"/>
      <c r="M402" s="119"/>
      <c r="N402" s="119"/>
      <c r="O402" s="119"/>
      <c r="P402" s="119"/>
    </row>
    <row r="403" spans="3:16" x14ac:dyDescent="0.2">
      <c r="C403" s="119"/>
      <c r="D403" s="119"/>
      <c r="E403" s="119"/>
      <c r="F403" s="119"/>
      <c r="G403" s="119"/>
      <c r="H403" s="119"/>
      <c r="I403" s="143"/>
      <c r="J403" s="143"/>
      <c r="K403" s="119"/>
      <c r="L403" s="119"/>
      <c r="M403" s="119"/>
      <c r="N403" s="119"/>
      <c r="O403" s="119"/>
      <c r="P403" s="119"/>
    </row>
    <row r="404" spans="3:16" x14ac:dyDescent="0.2">
      <c r="C404" s="119"/>
      <c r="D404" s="119"/>
      <c r="E404" s="119"/>
      <c r="F404" s="119"/>
      <c r="G404" s="119"/>
      <c r="H404" s="119"/>
      <c r="I404" s="143"/>
      <c r="J404" s="143"/>
      <c r="K404" s="119"/>
      <c r="L404" s="119"/>
      <c r="M404" s="119"/>
      <c r="N404" s="119"/>
      <c r="O404" s="119"/>
      <c r="P404" s="119"/>
    </row>
    <row r="405" spans="3:16" x14ac:dyDescent="0.2">
      <c r="C405" s="119"/>
      <c r="D405" s="119"/>
      <c r="E405" s="119"/>
      <c r="F405" s="119"/>
      <c r="G405" s="119"/>
      <c r="H405" s="119"/>
      <c r="I405" s="143"/>
      <c r="J405" s="143"/>
      <c r="K405" s="119"/>
      <c r="L405" s="119"/>
      <c r="M405" s="119"/>
      <c r="N405" s="119"/>
      <c r="O405" s="119"/>
      <c r="P405" s="119"/>
    </row>
    <row r="406" spans="3:16" x14ac:dyDescent="0.2">
      <c r="C406" s="119"/>
      <c r="D406" s="119"/>
      <c r="E406" s="119"/>
      <c r="F406" s="119"/>
      <c r="G406" s="119"/>
      <c r="H406" s="119"/>
      <c r="I406" s="143"/>
      <c r="J406" s="143"/>
      <c r="K406" s="119"/>
      <c r="L406" s="119"/>
      <c r="M406" s="119"/>
      <c r="N406" s="119"/>
      <c r="O406" s="119"/>
      <c r="P406" s="119"/>
    </row>
    <row r="407" spans="3:16" x14ac:dyDescent="0.2">
      <c r="C407" s="119"/>
      <c r="D407" s="119"/>
      <c r="E407" s="119"/>
      <c r="F407" s="119"/>
      <c r="G407" s="119"/>
      <c r="H407" s="119"/>
      <c r="I407" s="143"/>
      <c r="J407" s="143"/>
      <c r="K407" s="119"/>
      <c r="L407" s="119"/>
      <c r="M407" s="119"/>
      <c r="N407" s="119"/>
      <c r="O407" s="119"/>
      <c r="P407" s="119"/>
    </row>
    <row r="408" spans="3:16" x14ac:dyDescent="0.2">
      <c r="C408" s="119"/>
      <c r="D408" s="119"/>
      <c r="E408" s="119"/>
      <c r="F408" s="119"/>
      <c r="G408" s="119"/>
      <c r="H408" s="119"/>
      <c r="I408" s="143"/>
      <c r="J408" s="143"/>
      <c r="K408" s="119"/>
      <c r="L408" s="119"/>
      <c r="M408" s="119"/>
      <c r="N408" s="119"/>
      <c r="O408" s="119"/>
      <c r="P408" s="119"/>
    </row>
    <row r="409" spans="3:16" x14ac:dyDescent="0.2">
      <c r="C409" s="119"/>
      <c r="D409" s="119"/>
      <c r="E409" s="119"/>
      <c r="F409" s="119"/>
      <c r="G409" s="119"/>
      <c r="H409" s="119"/>
      <c r="I409" s="143"/>
      <c r="J409" s="143"/>
      <c r="K409" s="119"/>
      <c r="L409" s="119"/>
      <c r="M409" s="119"/>
      <c r="N409" s="119"/>
      <c r="O409" s="119"/>
      <c r="P409" s="119"/>
    </row>
    <row r="410" spans="3:16" x14ac:dyDescent="0.2">
      <c r="C410" s="119"/>
      <c r="D410" s="119"/>
      <c r="E410" s="119"/>
      <c r="F410" s="119"/>
      <c r="G410" s="119"/>
      <c r="H410" s="119"/>
      <c r="I410" s="143"/>
      <c r="J410" s="143"/>
      <c r="K410" s="119"/>
      <c r="L410" s="119"/>
      <c r="M410" s="119"/>
      <c r="N410" s="119"/>
      <c r="O410" s="119"/>
      <c r="P410" s="119"/>
    </row>
    <row r="411" spans="3:16" x14ac:dyDescent="0.2">
      <c r="C411" s="119"/>
      <c r="D411" s="119"/>
      <c r="E411" s="119"/>
      <c r="F411" s="119"/>
      <c r="G411" s="119"/>
      <c r="H411" s="119"/>
      <c r="I411" s="143"/>
      <c r="J411" s="143"/>
      <c r="K411" s="119"/>
      <c r="L411" s="119"/>
      <c r="M411" s="119"/>
      <c r="N411" s="119"/>
      <c r="O411" s="119"/>
      <c r="P411" s="119"/>
    </row>
    <row r="412" spans="3:16" x14ac:dyDescent="0.2">
      <c r="C412" s="119"/>
      <c r="D412" s="119"/>
      <c r="E412" s="119"/>
      <c r="F412" s="119"/>
      <c r="G412" s="119"/>
      <c r="H412" s="119"/>
      <c r="I412" s="143"/>
      <c r="J412" s="143"/>
      <c r="K412" s="119"/>
      <c r="L412" s="119"/>
      <c r="M412" s="119"/>
      <c r="N412" s="119"/>
      <c r="O412" s="119"/>
      <c r="P412" s="119"/>
    </row>
    <row r="413" spans="3:16" x14ac:dyDescent="0.2">
      <c r="C413" s="119"/>
      <c r="D413" s="119"/>
      <c r="E413" s="119"/>
      <c r="F413" s="119"/>
      <c r="G413" s="119"/>
      <c r="H413" s="119"/>
      <c r="I413" s="143"/>
      <c r="J413" s="143"/>
      <c r="K413" s="119"/>
      <c r="L413" s="119"/>
      <c r="M413" s="119"/>
      <c r="N413" s="119"/>
      <c r="O413" s="119"/>
      <c r="P413" s="119"/>
    </row>
    <row r="414" spans="3:16" x14ac:dyDescent="0.2">
      <c r="C414" s="119"/>
      <c r="D414" s="119"/>
      <c r="E414" s="119"/>
      <c r="F414" s="119"/>
      <c r="G414" s="119"/>
      <c r="H414" s="119"/>
      <c r="I414" s="143"/>
      <c r="J414" s="143"/>
      <c r="K414" s="119"/>
      <c r="L414" s="119"/>
      <c r="M414" s="119"/>
      <c r="N414" s="119"/>
      <c r="O414" s="119"/>
      <c r="P414" s="119"/>
    </row>
    <row r="415" spans="3:16" x14ac:dyDescent="0.2">
      <c r="C415" s="119"/>
      <c r="D415" s="119"/>
      <c r="E415" s="119"/>
      <c r="F415" s="119"/>
      <c r="G415" s="119"/>
      <c r="H415" s="119"/>
      <c r="I415" s="143"/>
      <c r="J415" s="143"/>
      <c r="K415" s="119"/>
      <c r="L415" s="119"/>
      <c r="M415" s="119"/>
      <c r="N415" s="119"/>
      <c r="O415" s="119"/>
      <c r="P415" s="119"/>
    </row>
    <row r="416" spans="3:16" x14ac:dyDescent="0.2">
      <c r="C416" s="119"/>
      <c r="D416" s="119"/>
      <c r="E416" s="119"/>
      <c r="F416" s="119"/>
      <c r="G416" s="119"/>
      <c r="H416" s="119"/>
      <c r="I416" s="143"/>
      <c r="J416" s="143"/>
      <c r="K416" s="119"/>
      <c r="L416" s="119"/>
      <c r="M416" s="119"/>
      <c r="N416" s="119"/>
      <c r="O416" s="119"/>
      <c r="P416" s="119"/>
    </row>
    <row r="417" spans="3:16" x14ac:dyDescent="0.2">
      <c r="C417" s="119"/>
      <c r="D417" s="119"/>
      <c r="E417" s="119"/>
      <c r="F417" s="119"/>
      <c r="G417" s="119"/>
      <c r="H417" s="119"/>
      <c r="I417" s="143"/>
      <c r="J417" s="143"/>
      <c r="K417" s="119"/>
      <c r="L417" s="119"/>
      <c r="M417" s="119"/>
      <c r="N417" s="119"/>
      <c r="O417" s="119"/>
      <c r="P417" s="119"/>
    </row>
    <row r="418" spans="3:16" x14ac:dyDescent="0.2">
      <c r="C418" s="119"/>
      <c r="D418" s="119"/>
      <c r="E418" s="119"/>
      <c r="F418" s="119"/>
      <c r="G418" s="119"/>
      <c r="H418" s="119"/>
      <c r="I418" s="143"/>
      <c r="J418" s="143"/>
      <c r="K418" s="119"/>
      <c r="L418" s="119"/>
      <c r="M418" s="119"/>
      <c r="N418" s="119"/>
      <c r="O418" s="119"/>
      <c r="P418" s="119"/>
    </row>
    <row r="419" spans="3:16" x14ac:dyDescent="0.2">
      <c r="C419" s="119"/>
      <c r="D419" s="119"/>
      <c r="E419" s="119"/>
      <c r="F419" s="119"/>
      <c r="G419" s="119"/>
      <c r="H419" s="119"/>
      <c r="I419" s="143"/>
      <c r="J419" s="143"/>
      <c r="K419" s="119"/>
      <c r="L419" s="119"/>
      <c r="M419" s="119"/>
      <c r="N419" s="119"/>
      <c r="O419" s="119"/>
      <c r="P419" s="119"/>
    </row>
    <row r="420" spans="3:16" x14ac:dyDescent="0.2">
      <c r="C420" s="119"/>
      <c r="D420" s="119"/>
      <c r="E420" s="119"/>
      <c r="F420" s="119"/>
      <c r="G420" s="119"/>
      <c r="H420" s="119"/>
      <c r="I420" s="143"/>
      <c r="J420" s="143"/>
      <c r="K420" s="119"/>
      <c r="L420" s="119"/>
      <c r="M420" s="119"/>
      <c r="N420" s="119"/>
      <c r="O420" s="119"/>
      <c r="P420" s="119"/>
    </row>
    <row r="421" spans="3:16" x14ac:dyDescent="0.2">
      <c r="C421" s="119"/>
      <c r="D421" s="119"/>
      <c r="E421" s="119"/>
      <c r="F421" s="119"/>
      <c r="G421" s="119"/>
      <c r="H421" s="119"/>
      <c r="I421" s="143"/>
      <c r="J421" s="143"/>
      <c r="K421" s="119"/>
      <c r="L421" s="119"/>
      <c r="M421" s="119"/>
      <c r="N421" s="119"/>
      <c r="O421" s="119"/>
      <c r="P421" s="119"/>
    </row>
    <row r="422" spans="3:16" x14ac:dyDescent="0.2">
      <c r="C422" s="119"/>
      <c r="D422" s="119"/>
      <c r="E422" s="119"/>
      <c r="F422" s="119"/>
      <c r="G422" s="119"/>
      <c r="H422" s="119"/>
      <c r="I422" s="143"/>
      <c r="J422" s="143"/>
      <c r="K422" s="119"/>
      <c r="L422" s="119"/>
      <c r="M422" s="119"/>
      <c r="N422" s="119"/>
      <c r="O422" s="119"/>
      <c r="P422" s="119"/>
    </row>
    <row r="423" spans="3:16" x14ac:dyDescent="0.2">
      <c r="C423" s="119"/>
      <c r="D423" s="119"/>
      <c r="E423" s="119"/>
      <c r="F423" s="119"/>
      <c r="G423" s="119"/>
      <c r="H423" s="119"/>
      <c r="I423" s="143"/>
      <c r="J423" s="143"/>
      <c r="K423" s="119"/>
      <c r="L423" s="119"/>
      <c r="M423" s="119"/>
      <c r="N423" s="119"/>
      <c r="O423" s="119"/>
      <c r="P423" s="119"/>
    </row>
    <row r="424" spans="3:16" x14ac:dyDescent="0.2">
      <c r="C424" s="119"/>
      <c r="D424" s="119"/>
      <c r="E424" s="119"/>
      <c r="F424" s="119"/>
      <c r="G424" s="119"/>
      <c r="H424" s="119"/>
      <c r="I424" s="143"/>
      <c r="J424" s="143"/>
      <c r="K424" s="119"/>
      <c r="L424" s="119"/>
      <c r="M424" s="119"/>
      <c r="N424" s="119"/>
      <c r="O424" s="119"/>
      <c r="P424" s="119"/>
    </row>
    <row r="425" spans="3:16" x14ac:dyDescent="0.2">
      <c r="C425" s="119"/>
      <c r="D425" s="119"/>
      <c r="E425" s="119"/>
      <c r="F425" s="119"/>
      <c r="G425" s="119"/>
      <c r="H425" s="119"/>
      <c r="I425" s="143"/>
      <c r="J425" s="143"/>
      <c r="K425" s="119"/>
      <c r="L425" s="119"/>
      <c r="M425" s="119"/>
      <c r="N425" s="119"/>
      <c r="O425" s="119"/>
      <c r="P425" s="119"/>
    </row>
    <row r="426" spans="3:16" x14ac:dyDescent="0.2">
      <c r="C426" s="119"/>
      <c r="D426" s="119"/>
      <c r="E426" s="119"/>
      <c r="F426" s="119"/>
      <c r="G426" s="119"/>
      <c r="H426" s="119"/>
      <c r="I426" s="143"/>
      <c r="J426" s="143"/>
      <c r="K426" s="119"/>
      <c r="L426" s="119"/>
      <c r="M426" s="119"/>
      <c r="N426" s="119"/>
      <c r="O426" s="119"/>
      <c r="P426" s="119"/>
    </row>
    <row r="427" spans="3:16" x14ac:dyDescent="0.2">
      <c r="C427" s="119"/>
      <c r="D427" s="119"/>
      <c r="E427" s="119"/>
      <c r="F427" s="119"/>
      <c r="G427" s="119"/>
      <c r="H427" s="119"/>
      <c r="I427" s="143"/>
      <c r="J427" s="143"/>
      <c r="K427" s="119"/>
      <c r="L427" s="119"/>
      <c r="M427" s="119"/>
      <c r="N427" s="119"/>
      <c r="O427" s="119"/>
      <c r="P427" s="119"/>
    </row>
    <row r="428" spans="3:16" x14ac:dyDescent="0.2">
      <c r="C428" s="119"/>
      <c r="D428" s="119"/>
      <c r="E428" s="119"/>
      <c r="F428" s="119"/>
      <c r="G428" s="119"/>
      <c r="H428" s="119"/>
      <c r="I428" s="143"/>
      <c r="J428" s="143"/>
      <c r="K428" s="119"/>
      <c r="L428" s="119"/>
      <c r="M428" s="119"/>
      <c r="N428" s="119"/>
      <c r="O428" s="119"/>
      <c r="P428" s="119"/>
    </row>
    <row r="429" spans="3:16" x14ac:dyDescent="0.2">
      <c r="C429" s="119"/>
      <c r="D429" s="119"/>
      <c r="E429" s="119"/>
      <c r="F429" s="119"/>
      <c r="G429" s="119"/>
      <c r="H429" s="119"/>
      <c r="I429" s="143"/>
      <c r="J429" s="143"/>
      <c r="K429" s="119"/>
      <c r="L429" s="119"/>
      <c r="M429" s="119"/>
      <c r="N429" s="119"/>
      <c r="O429" s="119"/>
      <c r="P429" s="119"/>
    </row>
    <row r="430" spans="3:16" x14ac:dyDescent="0.2">
      <c r="C430" s="119"/>
      <c r="D430" s="119"/>
      <c r="E430" s="119"/>
      <c r="F430" s="119"/>
      <c r="G430" s="119"/>
      <c r="H430" s="119"/>
      <c r="I430" s="143"/>
      <c r="J430" s="143"/>
      <c r="K430" s="119"/>
      <c r="L430" s="119"/>
      <c r="M430" s="119"/>
      <c r="N430" s="119"/>
      <c r="O430" s="119"/>
      <c r="P430" s="119"/>
    </row>
    <row r="431" spans="3:16" x14ac:dyDescent="0.2">
      <c r="C431" s="119"/>
      <c r="D431" s="119"/>
      <c r="E431" s="119"/>
      <c r="F431" s="119"/>
      <c r="G431" s="119"/>
      <c r="H431" s="119"/>
      <c r="I431" s="143"/>
      <c r="J431" s="143"/>
      <c r="K431" s="119"/>
      <c r="L431" s="119"/>
      <c r="M431" s="119"/>
      <c r="N431" s="119"/>
      <c r="O431" s="119"/>
      <c r="P431" s="119"/>
    </row>
    <row r="432" spans="3:16" x14ac:dyDescent="0.2">
      <c r="C432" s="119"/>
      <c r="D432" s="119"/>
      <c r="E432" s="119"/>
      <c r="F432" s="119"/>
      <c r="G432" s="119"/>
      <c r="H432" s="119"/>
      <c r="I432" s="143"/>
      <c r="J432" s="143"/>
      <c r="K432" s="119"/>
      <c r="L432" s="119"/>
      <c r="M432" s="119"/>
      <c r="N432" s="119"/>
      <c r="O432" s="119"/>
      <c r="P432" s="119"/>
    </row>
    <row r="433" spans="3:16" x14ac:dyDescent="0.2">
      <c r="C433" s="119"/>
      <c r="D433" s="119"/>
      <c r="E433" s="119"/>
      <c r="F433" s="119"/>
      <c r="G433" s="119"/>
      <c r="H433" s="119"/>
      <c r="I433" s="143"/>
      <c r="J433" s="143"/>
      <c r="K433" s="119"/>
      <c r="L433" s="119"/>
      <c r="M433" s="119"/>
      <c r="N433" s="119"/>
      <c r="O433" s="119"/>
      <c r="P433" s="119"/>
    </row>
    <row r="434" spans="3:16" x14ac:dyDescent="0.2">
      <c r="C434" s="119"/>
      <c r="D434" s="119"/>
      <c r="E434" s="119"/>
      <c r="F434" s="119"/>
      <c r="G434" s="119"/>
      <c r="H434" s="119"/>
      <c r="I434" s="143"/>
      <c r="J434" s="143"/>
      <c r="K434" s="119"/>
      <c r="L434" s="119"/>
      <c r="M434" s="119"/>
      <c r="N434" s="119"/>
      <c r="O434" s="119"/>
      <c r="P434" s="119"/>
    </row>
    <row r="435" spans="3:16" x14ac:dyDescent="0.2">
      <c r="C435" s="119"/>
      <c r="D435" s="119"/>
      <c r="E435" s="119"/>
      <c r="F435" s="119"/>
      <c r="G435" s="119"/>
      <c r="H435" s="119"/>
      <c r="I435" s="143"/>
      <c r="J435" s="143"/>
      <c r="K435" s="119"/>
      <c r="L435" s="119"/>
      <c r="M435" s="119"/>
      <c r="N435" s="119"/>
      <c r="O435" s="119"/>
      <c r="P435" s="119"/>
    </row>
    <row r="436" spans="3:16" x14ac:dyDescent="0.2">
      <c r="C436" s="119"/>
      <c r="D436" s="119"/>
      <c r="E436" s="119"/>
      <c r="F436" s="119"/>
      <c r="G436" s="119"/>
      <c r="H436" s="119"/>
      <c r="I436" s="143"/>
      <c r="J436" s="143"/>
      <c r="K436" s="119"/>
      <c r="L436" s="119"/>
      <c r="M436" s="119"/>
      <c r="N436" s="119"/>
      <c r="O436" s="119"/>
      <c r="P436" s="119"/>
    </row>
    <row r="437" spans="3:16" x14ac:dyDescent="0.2">
      <c r="C437" s="119"/>
      <c r="D437" s="119"/>
      <c r="E437" s="119"/>
      <c r="F437" s="119"/>
      <c r="G437" s="119"/>
      <c r="H437" s="119"/>
      <c r="I437" s="143"/>
      <c r="J437" s="143"/>
      <c r="K437" s="119"/>
      <c r="L437" s="119"/>
      <c r="M437" s="119"/>
      <c r="N437" s="119"/>
      <c r="O437" s="119"/>
      <c r="P437" s="119"/>
    </row>
    <row r="438" spans="3:16" x14ac:dyDescent="0.2">
      <c r="C438" s="119"/>
      <c r="D438" s="119"/>
      <c r="E438" s="119"/>
      <c r="F438" s="119"/>
      <c r="G438" s="119"/>
      <c r="H438" s="119"/>
      <c r="I438" s="143"/>
      <c r="J438" s="143"/>
      <c r="K438" s="119"/>
      <c r="L438" s="119"/>
      <c r="M438" s="119"/>
      <c r="N438" s="119"/>
      <c r="O438" s="119"/>
      <c r="P438" s="119"/>
    </row>
    <row r="439" spans="3:16" x14ac:dyDescent="0.2">
      <c r="C439" s="119"/>
      <c r="D439" s="119"/>
      <c r="E439" s="119"/>
      <c r="F439" s="119"/>
      <c r="G439" s="119"/>
      <c r="H439" s="119"/>
      <c r="I439" s="143"/>
      <c r="J439" s="143"/>
      <c r="K439" s="119"/>
      <c r="L439" s="119"/>
      <c r="M439" s="119"/>
      <c r="N439" s="119"/>
      <c r="O439" s="119"/>
      <c r="P439" s="119"/>
    </row>
    <row r="440" spans="3:16" x14ac:dyDescent="0.2">
      <c r="C440" s="119"/>
      <c r="D440" s="119"/>
      <c r="E440" s="119"/>
      <c r="F440" s="119"/>
      <c r="G440" s="119"/>
      <c r="H440" s="119"/>
      <c r="I440" s="143"/>
      <c r="J440" s="143"/>
      <c r="K440" s="119"/>
      <c r="L440" s="119"/>
      <c r="M440" s="119"/>
      <c r="N440" s="119"/>
      <c r="O440" s="119"/>
      <c r="P440" s="119"/>
    </row>
    <row r="441" spans="3:16" x14ac:dyDescent="0.2">
      <c r="C441" s="119"/>
      <c r="D441" s="119"/>
      <c r="E441" s="119"/>
      <c r="F441" s="119"/>
      <c r="G441" s="119"/>
      <c r="H441" s="119"/>
      <c r="I441" s="143"/>
      <c r="J441" s="143"/>
      <c r="K441" s="119"/>
      <c r="L441" s="119"/>
      <c r="M441" s="119"/>
      <c r="N441" s="119"/>
      <c r="O441" s="119"/>
      <c r="P441" s="119"/>
    </row>
    <row r="442" spans="3:16" x14ac:dyDescent="0.2">
      <c r="C442" s="119"/>
      <c r="D442" s="119"/>
      <c r="E442" s="119"/>
      <c r="F442" s="119"/>
      <c r="G442" s="119"/>
      <c r="H442" s="119"/>
      <c r="I442" s="143"/>
      <c r="J442" s="143"/>
      <c r="K442" s="119"/>
      <c r="L442" s="119"/>
      <c r="M442" s="119"/>
      <c r="N442" s="119"/>
      <c r="O442" s="119"/>
      <c r="P442" s="119"/>
    </row>
    <row r="443" spans="3:16" x14ac:dyDescent="0.2">
      <c r="C443" s="119"/>
      <c r="D443" s="119"/>
      <c r="E443" s="119"/>
      <c r="F443" s="119"/>
      <c r="G443" s="119"/>
      <c r="H443" s="119"/>
      <c r="I443" s="143"/>
      <c r="J443" s="143"/>
      <c r="K443" s="119"/>
      <c r="L443" s="119"/>
      <c r="M443" s="119"/>
      <c r="N443" s="119"/>
      <c r="O443" s="119"/>
      <c r="P443" s="119"/>
    </row>
    <row r="444" spans="3:16" x14ac:dyDescent="0.2">
      <c r="C444" s="119"/>
      <c r="D444" s="119"/>
      <c r="E444" s="119"/>
      <c r="F444" s="119"/>
      <c r="G444" s="119"/>
      <c r="H444" s="119"/>
      <c r="I444" s="143"/>
      <c r="J444" s="143"/>
      <c r="K444" s="119"/>
      <c r="L444" s="119"/>
      <c r="M444" s="119"/>
      <c r="N444" s="119"/>
      <c r="O444" s="119"/>
      <c r="P444" s="119"/>
    </row>
    <row r="445" spans="3:16" x14ac:dyDescent="0.2">
      <c r="C445" s="119"/>
      <c r="D445" s="119"/>
      <c r="E445" s="119"/>
      <c r="F445" s="119"/>
      <c r="G445" s="119"/>
      <c r="H445" s="119"/>
      <c r="I445" s="143"/>
      <c r="J445" s="143"/>
      <c r="K445" s="119"/>
      <c r="L445" s="119"/>
      <c r="M445" s="119"/>
      <c r="N445" s="119"/>
      <c r="O445" s="119"/>
      <c r="P445" s="119"/>
    </row>
    <row r="446" spans="3:16" x14ac:dyDescent="0.2">
      <c r="C446" s="119"/>
      <c r="D446" s="119"/>
      <c r="E446" s="119"/>
      <c r="F446" s="119"/>
      <c r="G446" s="119"/>
      <c r="H446" s="119"/>
      <c r="I446" s="143"/>
      <c r="J446" s="143"/>
      <c r="K446" s="119"/>
      <c r="L446" s="119"/>
      <c r="M446" s="119"/>
      <c r="N446" s="119"/>
      <c r="O446" s="119"/>
      <c r="P446" s="119"/>
    </row>
    <row r="447" spans="3:16" x14ac:dyDescent="0.2">
      <c r="C447" s="119"/>
      <c r="D447" s="119"/>
      <c r="E447" s="119"/>
      <c r="F447" s="119"/>
      <c r="G447" s="119"/>
      <c r="H447" s="119"/>
      <c r="I447" s="143"/>
      <c r="J447" s="143"/>
      <c r="K447" s="119"/>
      <c r="L447" s="119"/>
      <c r="M447" s="119"/>
      <c r="N447" s="119"/>
      <c r="O447" s="119"/>
      <c r="P447" s="119"/>
    </row>
    <row r="448" spans="3:16" x14ac:dyDescent="0.2">
      <c r="C448" s="119"/>
      <c r="D448" s="119"/>
      <c r="E448" s="119"/>
      <c r="F448" s="119"/>
      <c r="G448" s="119"/>
      <c r="H448" s="119"/>
      <c r="I448" s="143"/>
      <c r="J448" s="143"/>
      <c r="K448" s="119"/>
      <c r="L448" s="119"/>
      <c r="M448" s="119"/>
      <c r="N448" s="119"/>
      <c r="O448" s="119"/>
      <c r="P448" s="119"/>
    </row>
    <row r="449" spans="3:16" x14ac:dyDescent="0.2">
      <c r="C449" s="119"/>
      <c r="D449" s="119"/>
      <c r="E449" s="119"/>
      <c r="F449" s="119"/>
      <c r="G449" s="119"/>
      <c r="H449" s="119"/>
      <c r="I449" s="143"/>
      <c r="J449" s="143"/>
      <c r="K449" s="119"/>
      <c r="L449" s="119"/>
      <c r="M449" s="119"/>
      <c r="N449" s="119"/>
      <c r="O449" s="119"/>
      <c r="P449" s="119"/>
    </row>
    <row r="450" spans="3:16" x14ac:dyDescent="0.2">
      <c r="C450" s="119"/>
      <c r="D450" s="119"/>
      <c r="E450" s="119"/>
      <c r="F450" s="119"/>
      <c r="G450" s="119"/>
      <c r="H450" s="119"/>
      <c r="I450" s="143"/>
      <c r="J450" s="143"/>
      <c r="K450" s="119"/>
      <c r="L450" s="119"/>
      <c r="M450" s="119"/>
      <c r="N450" s="119"/>
      <c r="O450" s="119"/>
      <c r="P450" s="119"/>
    </row>
    <row r="451" spans="3:16" x14ac:dyDescent="0.2">
      <c r="C451" s="119"/>
      <c r="D451" s="119"/>
      <c r="E451" s="119"/>
      <c r="F451" s="119"/>
      <c r="G451" s="119"/>
      <c r="H451" s="119"/>
      <c r="I451" s="143"/>
      <c r="J451" s="143"/>
      <c r="K451" s="119"/>
      <c r="L451" s="119"/>
      <c r="M451" s="119"/>
      <c r="N451" s="119"/>
      <c r="O451" s="119"/>
      <c r="P451" s="119"/>
    </row>
    <row r="452" spans="3:16" x14ac:dyDescent="0.2">
      <c r="C452" s="119"/>
      <c r="D452" s="119"/>
      <c r="E452" s="119"/>
      <c r="F452" s="119"/>
      <c r="G452" s="119"/>
      <c r="H452" s="119"/>
      <c r="I452" s="143"/>
      <c r="J452" s="143"/>
      <c r="K452" s="119"/>
      <c r="L452" s="119"/>
      <c r="M452" s="119"/>
      <c r="N452" s="119"/>
      <c r="O452" s="119"/>
      <c r="P452" s="119"/>
    </row>
    <row r="453" spans="3:16" x14ac:dyDescent="0.2">
      <c r="C453" s="119"/>
      <c r="D453" s="119"/>
      <c r="E453" s="119"/>
      <c r="F453" s="119"/>
      <c r="G453" s="119"/>
      <c r="H453" s="119"/>
      <c r="I453" s="143"/>
      <c r="J453" s="143"/>
      <c r="K453" s="119"/>
      <c r="L453" s="119"/>
      <c r="M453" s="119"/>
      <c r="N453" s="119"/>
      <c r="O453" s="119"/>
      <c r="P453" s="119"/>
    </row>
    <row r="454" spans="3:16" x14ac:dyDescent="0.2">
      <c r="C454" s="119"/>
      <c r="D454" s="119"/>
      <c r="E454" s="119"/>
      <c r="F454" s="119"/>
      <c r="G454" s="119"/>
      <c r="H454" s="119"/>
      <c r="I454" s="143"/>
      <c r="J454" s="143"/>
      <c r="K454" s="119"/>
      <c r="L454" s="119"/>
      <c r="M454" s="119"/>
      <c r="N454" s="119"/>
      <c r="O454" s="119"/>
      <c r="P454" s="119"/>
    </row>
    <row r="455" spans="3:16" x14ac:dyDescent="0.2">
      <c r="C455" s="119"/>
      <c r="D455" s="119"/>
      <c r="E455" s="119"/>
      <c r="F455" s="119"/>
      <c r="G455" s="119"/>
      <c r="H455" s="119"/>
      <c r="I455" s="143"/>
      <c r="J455" s="143"/>
      <c r="K455" s="119"/>
      <c r="L455" s="119"/>
      <c r="M455" s="119"/>
      <c r="N455" s="119"/>
      <c r="O455" s="119"/>
      <c r="P455" s="119"/>
    </row>
    <row r="456" spans="3:16" x14ac:dyDescent="0.2">
      <c r="C456" s="119"/>
      <c r="D456" s="119"/>
      <c r="E456" s="119"/>
      <c r="F456" s="119"/>
      <c r="G456" s="119"/>
      <c r="H456" s="119"/>
      <c r="I456" s="143"/>
      <c r="J456" s="143"/>
      <c r="K456" s="119"/>
      <c r="L456" s="119"/>
      <c r="M456" s="119"/>
      <c r="N456" s="119"/>
      <c r="O456" s="119"/>
      <c r="P456" s="119"/>
    </row>
    <row r="457" spans="3:16" x14ac:dyDescent="0.2">
      <c r="C457" s="119"/>
      <c r="D457" s="119"/>
      <c r="E457" s="119"/>
      <c r="F457" s="119"/>
      <c r="G457" s="119"/>
      <c r="H457" s="119"/>
      <c r="I457" s="143"/>
      <c r="J457" s="143"/>
      <c r="K457" s="119"/>
      <c r="L457" s="119"/>
      <c r="M457" s="119"/>
      <c r="N457" s="119"/>
      <c r="O457" s="119"/>
      <c r="P457" s="119"/>
    </row>
    <row r="458" spans="3:16" x14ac:dyDescent="0.2">
      <c r="C458" s="119"/>
      <c r="D458" s="119"/>
      <c r="E458" s="119"/>
      <c r="F458" s="119"/>
      <c r="G458" s="119"/>
      <c r="H458" s="119"/>
      <c r="I458" s="143"/>
      <c r="J458" s="143"/>
      <c r="K458" s="119"/>
      <c r="L458" s="119"/>
      <c r="M458" s="119"/>
      <c r="N458" s="119"/>
      <c r="O458" s="119"/>
      <c r="P458" s="119"/>
    </row>
    <row r="459" spans="3:16" x14ac:dyDescent="0.2">
      <c r="C459" s="119"/>
      <c r="D459" s="119"/>
      <c r="E459" s="119"/>
      <c r="F459" s="119"/>
      <c r="G459" s="119"/>
      <c r="H459" s="119"/>
      <c r="I459" s="143"/>
      <c r="J459" s="143"/>
      <c r="K459" s="119"/>
      <c r="L459" s="119"/>
      <c r="M459" s="119"/>
      <c r="N459" s="119"/>
      <c r="O459" s="119"/>
      <c r="P459" s="119"/>
    </row>
    <row r="460" spans="3:16" x14ac:dyDescent="0.2">
      <c r="C460" s="119"/>
      <c r="D460" s="119"/>
      <c r="E460" s="119"/>
      <c r="F460" s="119"/>
      <c r="G460" s="119"/>
      <c r="H460" s="119"/>
      <c r="I460" s="143"/>
      <c r="J460" s="143"/>
      <c r="K460" s="119"/>
      <c r="L460" s="119"/>
      <c r="M460" s="119"/>
      <c r="N460" s="119"/>
      <c r="O460" s="119"/>
      <c r="P460" s="119"/>
    </row>
    <row r="461" spans="3:16" x14ac:dyDescent="0.2">
      <c r="C461" s="119"/>
      <c r="D461" s="119"/>
      <c r="E461" s="119"/>
      <c r="F461" s="119"/>
      <c r="G461" s="119"/>
      <c r="H461" s="119"/>
      <c r="I461" s="143"/>
      <c r="J461" s="143"/>
      <c r="K461" s="119"/>
      <c r="L461" s="119"/>
      <c r="M461" s="119"/>
      <c r="N461" s="119"/>
      <c r="O461" s="119"/>
      <c r="P461" s="119"/>
    </row>
    <row r="462" spans="3:16" x14ac:dyDescent="0.2">
      <c r="C462" s="119"/>
      <c r="D462" s="119"/>
      <c r="E462" s="119"/>
      <c r="F462" s="119"/>
      <c r="G462" s="119"/>
      <c r="H462" s="119"/>
      <c r="I462" s="143"/>
      <c r="J462" s="143"/>
      <c r="K462" s="119"/>
      <c r="L462" s="119"/>
      <c r="M462" s="119"/>
      <c r="N462" s="119"/>
      <c r="O462" s="119"/>
      <c r="P462" s="119"/>
    </row>
    <row r="463" spans="3:16" x14ac:dyDescent="0.2">
      <c r="C463" s="119"/>
      <c r="D463" s="119"/>
      <c r="E463" s="119"/>
      <c r="F463" s="119"/>
      <c r="G463" s="119"/>
      <c r="H463" s="119"/>
      <c r="I463" s="143"/>
      <c r="J463" s="143"/>
      <c r="K463" s="119"/>
      <c r="L463" s="119"/>
      <c r="M463" s="119"/>
      <c r="N463" s="119"/>
      <c r="O463" s="119"/>
      <c r="P463" s="119"/>
    </row>
    <row r="464" spans="3:16" x14ac:dyDescent="0.2">
      <c r="C464" s="119"/>
      <c r="D464" s="119"/>
      <c r="E464" s="119"/>
      <c r="F464" s="119"/>
      <c r="G464" s="119"/>
      <c r="H464" s="119"/>
      <c r="I464" s="143"/>
      <c r="J464" s="143"/>
      <c r="K464" s="119"/>
      <c r="L464" s="119"/>
      <c r="M464" s="119"/>
      <c r="N464" s="119"/>
      <c r="O464" s="119"/>
      <c r="P464" s="119"/>
    </row>
    <row r="465" spans="3:16" x14ac:dyDescent="0.2">
      <c r="C465" s="119"/>
      <c r="D465" s="119"/>
      <c r="E465" s="119"/>
      <c r="F465" s="119"/>
      <c r="G465" s="119"/>
      <c r="H465" s="119"/>
      <c r="I465" s="143"/>
      <c r="J465" s="143"/>
      <c r="K465" s="119"/>
      <c r="L465" s="119"/>
      <c r="M465" s="119"/>
      <c r="N465" s="119"/>
      <c r="O465" s="119"/>
      <c r="P465" s="119"/>
    </row>
    <row r="466" spans="3:16" x14ac:dyDescent="0.2">
      <c r="C466" s="119"/>
      <c r="D466" s="119"/>
      <c r="E466" s="119"/>
      <c r="F466" s="119"/>
      <c r="G466" s="119"/>
      <c r="H466" s="119"/>
      <c r="I466" s="143"/>
      <c r="J466" s="143"/>
      <c r="K466" s="119"/>
      <c r="L466" s="119"/>
      <c r="M466" s="119"/>
      <c r="N466" s="119"/>
      <c r="O466" s="119"/>
      <c r="P466" s="119"/>
    </row>
    <row r="467" spans="3:16" x14ac:dyDescent="0.2">
      <c r="C467" s="119"/>
      <c r="D467" s="119"/>
      <c r="E467" s="119"/>
      <c r="F467" s="119"/>
      <c r="G467" s="119"/>
      <c r="H467" s="119"/>
      <c r="I467" s="143"/>
      <c r="J467" s="143"/>
      <c r="K467" s="119"/>
      <c r="L467" s="119"/>
      <c r="M467" s="119"/>
      <c r="N467" s="119"/>
      <c r="O467" s="119"/>
      <c r="P467" s="119"/>
    </row>
    <row r="468" spans="3:16" x14ac:dyDescent="0.2">
      <c r="C468" s="119"/>
      <c r="D468" s="119"/>
      <c r="E468" s="119"/>
      <c r="F468" s="119"/>
      <c r="G468" s="119"/>
      <c r="H468" s="119"/>
      <c r="I468" s="143"/>
      <c r="J468" s="143"/>
      <c r="K468" s="119"/>
      <c r="L468" s="119"/>
      <c r="M468" s="119"/>
      <c r="N468" s="119"/>
      <c r="O468" s="119"/>
      <c r="P468" s="119"/>
    </row>
    <row r="469" spans="3:16" x14ac:dyDescent="0.2">
      <c r="C469" s="119"/>
      <c r="D469" s="119"/>
      <c r="E469" s="119"/>
      <c r="F469" s="119"/>
      <c r="G469" s="119"/>
      <c r="H469" s="119"/>
      <c r="I469" s="143"/>
      <c r="J469" s="143"/>
      <c r="K469" s="119"/>
      <c r="L469" s="119"/>
      <c r="M469" s="119"/>
      <c r="N469" s="119"/>
      <c r="O469" s="119"/>
      <c r="P469" s="119"/>
    </row>
    <row r="470" spans="3:16" x14ac:dyDescent="0.2">
      <c r="C470" s="119"/>
      <c r="D470" s="119"/>
      <c r="E470" s="119"/>
      <c r="F470" s="119"/>
      <c r="G470" s="119"/>
      <c r="H470" s="119"/>
      <c r="I470" s="143"/>
      <c r="J470" s="143"/>
      <c r="K470" s="119"/>
      <c r="L470" s="119"/>
      <c r="M470" s="119"/>
      <c r="N470" s="119"/>
      <c r="O470" s="119"/>
      <c r="P470" s="119"/>
    </row>
    <row r="471" spans="3:16" x14ac:dyDescent="0.2">
      <c r="C471" s="119"/>
      <c r="D471" s="119"/>
      <c r="E471" s="119"/>
      <c r="F471" s="119"/>
      <c r="G471" s="119"/>
      <c r="H471" s="119"/>
      <c r="I471" s="143"/>
      <c r="J471" s="143"/>
      <c r="K471" s="119"/>
      <c r="L471" s="119"/>
      <c r="M471" s="119"/>
      <c r="N471" s="119"/>
      <c r="O471" s="119"/>
      <c r="P471" s="119"/>
    </row>
    <row r="472" spans="3:16" x14ac:dyDescent="0.2">
      <c r="C472" s="119"/>
      <c r="D472" s="119"/>
      <c r="E472" s="119"/>
      <c r="F472" s="119"/>
      <c r="G472" s="119"/>
      <c r="H472" s="119"/>
      <c r="I472" s="143"/>
      <c r="J472" s="143"/>
      <c r="K472" s="119"/>
      <c r="L472" s="119"/>
      <c r="M472" s="119"/>
      <c r="N472" s="119"/>
      <c r="O472" s="119"/>
      <c r="P472" s="119"/>
    </row>
    <row r="473" spans="3:16" x14ac:dyDescent="0.2">
      <c r="C473" s="119"/>
      <c r="D473" s="119"/>
      <c r="E473" s="119"/>
      <c r="F473" s="119"/>
      <c r="G473" s="119"/>
      <c r="H473" s="119"/>
      <c r="I473" s="143"/>
      <c r="J473" s="143"/>
      <c r="K473" s="119"/>
      <c r="L473" s="119"/>
      <c r="M473" s="119"/>
      <c r="N473" s="119"/>
      <c r="O473" s="119"/>
      <c r="P473" s="119"/>
    </row>
    <row r="474" spans="3:16" x14ac:dyDescent="0.2">
      <c r="C474" s="119"/>
      <c r="D474" s="119"/>
      <c r="E474" s="119"/>
      <c r="F474" s="119"/>
      <c r="G474" s="119"/>
      <c r="H474" s="119"/>
      <c r="I474" s="143"/>
      <c r="J474" s="143"/>
      <c r="K474" s="119"/>
      <c r="L474" s="119"/>
      <c r="M474" s="119"/>
      <c r="N474" s="119"/>
      <c r="O474" s="119"/>
      <c r="P474" s="119"/>
    </row>
    <row r="475" spans="3:16" x14ac:dyDescent="0.2">
      <c r="C475" s="119"/>
      <c r="D475" s="119"/>
      <c r="E475" s="119"/>
      <c r="F475" s="119"/>
      <c r="G475" s="119"/>
      <c r="H475" s="119"/>
      <c r="I475" s="143"/>
      <c r="J475" s="143"/>
      <c r="K475" s="119"/>
      <c r="L475" s="119"/>
      <c r="M475" s="119"/>
      <c r="N475" s="119"/>
      <c r="O475" s="119"/>
      <c r="P475" s="119"/>
    </row>
    <row r="476" spans="3:16" x14ac:dyDescent="0.2">
      <c r="C476" s="119"/>
      <c r="D476" s="119"/>
      <c r="E476" s="119"/>
      <c r="F476" s="119"/>
      <c r="G476" s="119"/>
      <c r="H476" s="119"/>
      <c r="I476" s="143"/>
      <c r="J476" s="143"/>
      <c r="K476" s="119"/>
      <c r="L476" s="119"/>
      <c r="M476" s="119"/>
      <c r="N476" s="119"/>
      <c r="O476" s="119"/>
      <c r="P476" s="119"/>
    </row>
    <row r="477" spans="3:16" x14ac:dyDescent="0.2">
      <c r="C477" s="119"/>
      <c r="D477" s="119"/>
      <c r="E477" s="119"/>
      <c r="F477" s="119"/>
      <c r="G477" s="119"/>
      <c r="H477" s="119"/>
      <c r="I477" s="143"/>
      <c r="J477" s="143"/>
      <c r="K477" s="119"/>
      <c r="L477" s="119"/>
      <c r="M477" s="119"/>
      <c r="N477" s="119"/>
      <c r="O477" s="119"/>
      <c r="P477" s="119"/>
    </row>
    <row r="478" spans="3:16" x14ac:dyDescent="0.2">
      <c r="C478" s="119"/>
      <c r="D478" s="119"/>
      <c r="E478" s="119"/>
      <c r="F478" s="119"/>
      <c r="G478" s="119"/>
      <c r="H478" s="119"/>
      <c r="I478" s="143"/>
      <c r="J478" s="143"/>
      <c r="K478" s="119"/>
      <c r="L478" s="119"/>
      <c r="M478" s="119"/>
      <c r="N478" s="119"/>
      <c r="O478" s="119"/>
      <c r="P478" s="119"/>
    </row>
    <row r="479" spans="3:16" x14ac:dyDescent="0.2">
      <c r="C479" s="119"/>
      <c r="D479" s="119"/>
      <c r="E479" s="119"/>
      <c r="F479" s="119"/>
      <c r="G479" s="119"/>
      <c r="H479" s="119"/>
      <c r="I479" s="143"/>
      <c r="J479" s="143"/>
      <c r="K479" s="119"/>
      <c r="L479" s="119"/>
      <c r="M479" s="119"/>
      <c r="N479" s="119"/>
      <c r="O479" s="119"/>
      <c r="P479" s="119"/>
    </row>
    <row r="480" spans="3:16" x14ac:dyDescent="0.2">
      <c r="C480" s="119"/>
      <c r="D480" s="119"/>
      <c r="E480" s="119"/>
      <c r="F480" s="119"/>
      <c r="G480" s="119"/>
      <c r="H480" s="119"/>
      <c r="I480" s="143"/>
      <c r="J480" s="143"/>
      <c r="K480" s="119"/>
      <c r="L480" s="119"/>
      <c r="M480" s="119"/>
      <c r="N480" s="119"/>
      <c r="O480" s="119"/>
      <c r="P480" s="119"/>
    </row>
    <row r="481" spans="3:16" x14ac:dyDescent="0.2">
      <c r="C481" s="119"/>
      <c r="D481" s="119"/>
      <c r="E481" s="119"/>
      <c r="F481" s="119"/>
      <c r="G481" s="119"/>
      <c r="H481" s="119"/>
      <c r="I481" s="143"/>
      <c r="J481" s="143"/>
      <c r="K481" s="119"/>
      <c r="L481" s="119"/>
      <c r="M481" s="119"/>
      <c r="N481" s="119"/>
      <c r="O481" s="119"/>
      <c r="P481" s="119"/>
    </row>
    <row r="482" spans="3:16" x14ac:dyDescent="0.2">
      <c r="C482" s="119"/>
      <c r="D482" s="119"/>
      <c r="E482" s="119"/>
      <c r="F482" s="119"/>
      <c r="G482" s="119"/>
      <c r="H482" s="119"/>
      <c r="I482" s="143"/>
      <c r="J482" s="143"/>
      <c r="K482" s="119"/>
      <c r="L482" s="119"/>
      <c r="M482" s="119"/>
      <c r="N482" s="119"/>
      <c r="O482" s="119"/>
      <c r="P482" s="119"/>
    </row>
    <row r="483" spans="3:16" x14ac:dyDescent="0.2">
      <c r="C483" s="119"/>
      <c r="D483" s="119"/>
      <c r="E483" s="119"/>
      <c r="F483" s="119"/>
      <c r="G483" s="119"/>
      <c r="H483" s="119"/>
      <c r="I483" s="143"/>
      <c r="J483" s="143"/>
      <c r="K483" s="119"/>
      <c r="L483" s="119"/>
      <c r="M483" s="119"/>
      <c r="N483" s="119"/>
      <c r="O483" s="119"/>
      <c r="P483" s="119"/>
    </row>
    <row r="484" spans="3:16" x14ac:dyDescent="0.2">
      <c r="C484" s="119"/>
      <c r="D484" s="119"/>
      <c r="E484" s="119"/>
      <c r="F484" s="119"/>
      <c r="G484" s="119"/>
      <c r="H484" s="119"/>
      <c r="I484" s="143"/>
      <c r="J484" s="143"/>
      <c r="K484" s="119"/>
      <c r="L484" s="119"/>
      <c r="M484" s="119"/>
      <c r="N484" s="119"/>
      <c r="O484" s="119"/>
      <c r="P484" s="119"/>
    </row>
    <row r="485" spans="3:16" x14ac:dyDescent="0.2">
      <c r="C485" s="119"/>
      <c r="D485" s="119"/>
      <c r="E485" s="119"/>
      <c r="F485" s="119"/>
      <c r="G485" s="119"/>
      <c r="H485" s="119"/>
      <c r="I485" s="143"/>
      <c r="J485" s="143"/>
      <c r="K485" s="119"/>
      <c r="L485" s="119"/>
      <c r="M485" s="119"/>
      <c r="N485" s="119"/>
      <c r="O485" s="119"/>
      <c r="P485" s="119"/>
    </row>
    <row r="486" spans="3:16" x14ac:dyDescent="0.2">
      <c r="C486" s="119"/>
      <c r="D486" s="119"/>
      <c r="E486" s="119"/>
      <c r="F486" s="119"/>
      <c r="G486" s="119"/>
      <c r="H486" s="119"/>
      <c r="I486" s="143"/>
      <c r="J486" s="143"/>
      <c r="K486" s="119"/>
      <c r="L486" s="119"/>
      <c r="M486" s="119"/>
      <c r="N486" s="119"/>
      <c r="O486" s="119"/>
      <c r="P486" s="119"/>
    </row>
    <row r="487" spans="3:16" x14ac:dyDescent="0.2">
      <c r="C487" s="119"/>
      <c r="D487" s="119"/>
      <c r="E487" s="119"/>
      <c r="F487" s="119"/>
      <c r="G487" s="119"/>
      <c r="H487" s="119"/>
      <c r="I487" s="143"/>
      <c r="J487" s="143"/>
      <c r="K487" s="119"/>
      <c r="L487" s="119"/>
      <c r="M487" s="119"/>
      <c r="N487" s="119"/>
      <c r="O487" s="119"/>
      <c r="P487" s="119"/>
    </row>
    <row r="488" spans="3:16" x14ac:dyDescent="0.2">
      <c r="C488" s="119"/>
      <c r="D488" s="119"/>
      <c r="E488" s="119"/>
      <c r="F488" s="119"/>
      <c r="G488" s="119"/>
      <c r="H488" s="119"/>
      <c r="I488" s="143"/>
      <c r="J488" s="143"/>
      <c r="K488" s="119"/>
      <c r="L488" s="119"/>
      <c r="M488" s="119"/>
      <c r="N488" s="119"/>
      <c r="O488" s="119"/>
      <c r="P488" s="119"/>
    </row>
    <row r="489" spans="3:16" x14ac:dyDescent="0.2">
      <c r="C489" s="119"/>
      <c r="D489" s="119"/>
      <c r="E489" s="119"/>
      <c r="F489" s="119"/>
      <c r="G489" s="119"/>
      <c r="H489" s="119"/>
      <c r="I489" s="143"/>
      <c r="J489" s="143"/>
      <c r="K489" s="119"/>
      <c r="L489" s="119"/>
      <c r="M489" s="119"/>
      <c r="N489" s="119"/>
      <c r="O489" s="119"/>
      <c r="P489" s="119"/>
    </row>
    <row r="490" spans="3:16" x14ac:dyDescent="0.2">
      <c r="C490" s="119"/>
      <c r="D490" s="119"/>
      <c r="E490" s="119"/>
      <c r="F490" s="119"/>
      <c r="G490" s="119"/>
      <c r="H490" s="119"/>
      <c r="I490" s="143"/>
      <c r="J490" s="143"/>
      <c r="K490" s="119"/>
      <c r="L490" s="119"/>
      <c r="M490" s="119"/>
      <c r="N490" s="119"/>
      <c r="O490" s="119"/>
      <c r="P490" s="119"/>
    </row>
    <row r="491" spans="3:16" x14ac:dyDescent="0.2">
      <c r="C491" s="119"/>
      <c r="D491" s="119"/>
      <c r="E491" s="119"/>
      <c r="F491" s="119"/>
      <c r="G491" s="119"/>
      <c r="H491" s="119"/>
      <c r="I491" s="143"/>
      <c r="J491" s="143"/>
      <c r="K491" s="119"/>
      <c r="L491" s="119"/>
      <c r="M491" s="119"/>
      <c r="N491" s="119"/>
      <c r="O491" s="119"/>
      <c r="P491" s="119"/>
    </row>
    <row r="492" spans="3:16" x14ac:dyDescent="0.2">
      <c r="C492" s="119"/>
      <c r="D492" s="119"/>
      <c r="E492" s="119"/>
      <c r="F492" s="119"/>
      <c r="G492" s="119"/>
      <c r="H492" s="119"/>
      <c r="I492" s="143"/>
      <c r="J492" s="143"/>
      <c r="K492" s="119"/>
      <c r="L492" s="119"/>
      <c r="M492" s="119"/>
      <c r="N492" s="119"/>
      <c r="O492" s="119"/>
      <c r="P492" s="119"/>
    </row>
    <row r="493" spans="3:16" x14ac:dyDescent="0.2">
      <c r="C493" s="119"/>
      <c r="D493" s="119"/>
      <c r="E493" s="119"/>
      <c r="F493" s="119"/>
      <c r="G493" s="119"/>
      <c r="H493" s="119"/>
      <c r="I493" s="143"/>
      <c r="J493" s="143"/>
      <c r="K493" s="119"/>
      <c r="L493" s="119"/>
      <c r="M493" s="119"/>
      <c r="N493" s="119"/>
      <c r="O493" s="119"/>
      <c r="P493" s="119"/>
    </row>
    <row r="494" spans="3:16" x14ac:dyDescent="0.2">
      <c r="C494" s="119"/>
      <c r="D494" s="119"/>
      <c r="E494" s="119"/>
      <c r="F494" s="119"/>
      <c r="G494" s="119"/>
      <c r="H494" s="119"/>
      <c r="I494" s="143"/>
      <c r="J494" s="143"/>
      <c r="K494" s="119"/>
      <c r="L494" s="119"/>
      <c r="M494" s="119"/>
      <c r="N494" s="119"/>
      <c r="O494" s="119"/>
      <c r="P494" s="119"/>
    </row>
    <row r="495" spans="3:16" x14ac:dyDescent="0.2">
      <c r="C495" s="119"/>
      <c r="D495" s="119"/>
      <c r="E495" s="119"/>
      <c r="F495" s="119"/>
      <c r="G495" s="119"/>
      <c r="H495" s="119"/>
      <c r="I495" s="143"/>
      <c r="J495" s="143"/>
      <c r="K495" s="119"/>
      <c r="L495" s="119"/>
      <c r="M495" s="119"/>
      <c r="N495" s="119"/>
      <c r="O495" s="119"/>
      <c r="P495" s="119"/>
    </row>
    <row r="496" spans="3:16" x14ac:dyDescent="0.2">
      <c r="C496" s="119"/>
      <c r="D496" s="119"/>
      <c r="E496" s="119"/>
      <c r="F496" s="119"/>
      <c r="G496" s="119"/>
      <c r="H496" s="119"/>
      <c r="I496" s="143"/>
      <c r="J496" s="143"/>
      <c r="K496" s="119"/>
      <c r="L496" s="119"/>
      <c r="M496" s="119"/>
      <c r="N496" s="119"/>
      <c r="O496" s="119"/>
      <c r="P496" s="119"/>
    </row>
    <row r="497" spans="3:16" x14ac:dyDescent="0.2">
      <c r="C497" s="119"/>
      <c r="D497" s="119"/>
      <c r="E497" s="119"/>
      <c r="F497" s="119"/>
      <c r="G497" s="119"/>
      <c r="H497" s="119"/>
      <c r="I497" s="143"/>
      <c r="J497" s="143"/>
      <c r="K497" s="119"/>
      <c r="L497" s="119"/>
      <c r="M497" s="119"/>
      <c r="N497" s="119"/>
      <c r="O497" s="119"/>
      <c r="P497" s="119"/>
    </row>
    <row r="498" spans="3:16" x14ac:dyDescent="0.2">
      <c r="C498" s="119"/>
      <c r="D498" s="119"/>
      <c r="E498" s="119"/>
      <c r="F498" s="119"/>
      <c r="G498" s="119"/>
      <c r="H498" s="119"/>
      <c r="I498" s="143"/>
      <c r="J498" s="143"/>
      <c r="K498" s="119"/>
      <c r="L498" s="119"/>
      <c r="M498" s="119"/>
      <c r="N498" s="119"/>
      <c r="O498" s="119"/>
      <c r="P498" s="119"/>
    </row>
    <row r="499" spans="3:16" x14ac:dyDescent="0.2">
      <c r="C499" s="119"/>
      <c r="D499" s="119"/>
      <c r="E499" s="119"/>
      <c r="F499" s="119"/>
      <c r="G499" s="119"/>
      <c r="H499" s="119"/>
      <c r="I499" s="143"/>
      <c r="J499" s="143"/>
      <c r="K499" s="119"/>
      <c r="L499" s="119"/>
      <c r="M499" s="119"/>
      <c r="N499" s="119"/>
      <c r="O499" s="119"/>
      <c r="P499" s="119"/>
    </row>
    <row r="500" spans="3:16" x14ac:dyDescent="0.2">
      <c r="C500" s="119"/>
      <c r="D500" s="119"/>
      <c r="E500" s="119"/>
      <c r="F500" s="119"/>
      <c r="G500" s="119"/>
      <c r="H500" s="119"/>
      <c r="I500" s="143"/>
      <c r="J500" s="143"/>
      <c r="K500" s="119"/>
      <c r="L500" s="119"/>
      <c r="M500" s="119"/>
      <c r="N500" s="119"/>
      <c r="O500" s="119"/>
      <c r="P500" s="119"/>
    </row>
    <row r="501" spans="3:16" x14ac:dyDescent="0.2">
      <c r="C501" s="119"/>
      <c r="D501" s="119"/>
      <c r="E501" s="119"/>
      <c r="F501" s="119"/>
      <c r="G501" s="119"/>
      <c r="H501" s="119"/>
      <c r="I501" s="143"/>
      <c r="J501" s="143"/>
      <c r="K501" s="119"/>
      <c r="L501" s="119"/>
      <c r="M501" s="119"/>
      <c r="N501" s="119"/>
      <c r="O501" s="119"/>
      <c r="P501" s="119"/>
    </row>
    <row r="502" spans="3:16" x14ac:dyDescent="0.2">
      <c r="C502" s="119"/>
      <c r="D502" s="119"/>
      <c r="E502" s="119"/>
      <c r="F502" s="119"/>
      <c r="G502" s="119"/>
      <c r="H502" s="119"/>
      <c r="I502" s="143"/>
      <c r="J502" s="143"/>
      <c r="K502" s="119"/>
      <c r="L502" s="119"/>
      <c r="M502" s="119"/>
      <c r="N502" s="119"/>
      <c r="O502" s="119"/>
      <c r="P502" s="119"/>
    </row>
    <row r="503" spans="3:16" x14ac:dyDescent="0.2">
      <c r="C503" s="119"/>
      <c r="D503" s="119"/>
      <c r="E503" s="119"/>
      <c r="F503" s="119"/>
      <c r="G503" s="119"/>
      <c r="H503" s="119"/>
      <c r="I503" s="143"/>
      <c r="J503" s="143"/>
      <c r="K503" s="119"/>
      <c r="L503" s="119"/>
      <c r="M503" s="119"/>
      <c r="N503" s="119"/>
      <c r="O503" s="119"/>
      <c r="P503" s="119"/>
    </row>
    <row r="504" spans="3:16" x14ac:dyDescent="0.2">
      <c r="C504" s="119"/>
      <c r="D504" s="119"/>
      <c r="E504" s="119"/>
      <c r="F504" s="119"/>
      <c r="G504" s="119"/>
      <c r="H504" s="119"/>
      <c r="I504" s="143"/>
      <c r="J504" s="143"/>
      <c r="K504" s="119"/>
      <c r="L504" s="119"/>
      <c r="M504" s="119"/>
      <c r="N504" s="119"/>
      <c r="O504" s="119"/>
      <c r="P504" s="119"/>
    </row>
    <row r="505" spans="3:16" x14ac:dyDescent="0.2">
      <c r="C505" s="119"/>
      <c r="D505" s="119"/>
      <c r="E505" s="119"/>
      <c r="F505" s="119"/>
      <c r="G505" s="119"/>
      <c r="H505" s="119"/>
      <c r="I505" s="143"/>
      <c r="J505" s="143"/>
      <c r="K505" s="119"/>
      <c r="L505" s="119"/>
      <c r="M505" s="119"/>
      <c r="N505" s="119"/>
      <c r="O505" s="119"/>
      <c r="P505" s="119"/>
    </row>
    <row r="506" spans="3:16" x14ac:dyDescent="0.2">
      <c r="C506" s="119"/>
      <c r="D506" s="119"/>
      <c r="E506" s="119"/>
      <c r="F506" s="119"/>
      <c r="G506" s="119"/>
      <c r="H506" s="119"/>
      <c r="I506" s="143"/>
      <c r="J506" s="143"/>
      <c r="K506" s="119"/>
      <c r="L506" s="119"/>
      <c r="M506" s="119"/>
      <c r="N506" s="119"/>
      <c r="O506" s="119"/>
      <c r="P506" s="119"/>
    </row>
    <row r="507" spans="3:16" x14ac:dyDescent="0.2">
      <c r="C507" s="119"/>
      <c r="D507" s="119"/>
      <c r="E507" s="119"/>
      <c r="F507" s="119"/>
      <c r="G507" s="119"/>
      <c r="H507" s="119"/>
      <c r="I507" s="143"/>
      <c r="J507" s="143"/>
      <c r="K507" s="119"/>
      <c r="L507" s="119"/>
      <c r="M507" s="119"/>
      <c r="N507" s="119"/>
      <c r="O507" s="119"/>
      <c r="P507" s="119"/>
    </row>
    <row r="508" spans="3:16" x14ac:dyDescent="0.2">
      <c r="C508" s="119"/>
      <c r="D508" s="119"/>
      <c r="E508" s="119"/>
      <c r="F508" s="119"/>
      <c r="G508" s="119"/>
      <c r="H508" s="119"/>
      <c r="I508" s="143"/>
      <c r="J508" s="143"/>
      <c r="K508" s="119"/>
      <c r="L508" s="119"/>
      <c r="M508" s="119"/>
      <c r="N508" s="119"/>
      <c r="O508" s="119"/>
      <c r="P508" s="119"/>
    </row>
    <row r="509" spans="3:16" x14ac:dyDescent="0.2">
      <c r="C509" s="119"/>
      <c r="D509" s="119"/>
      <c r="E509" s="119"/>
      <c r="F509" s="119"/>
      <c r="G509" s="119"/>
      <c r="H509" s="119"/>
      <c r="I509" s="143"/>
      <c r="J509" s="143"/>
      <c r="K509" s="119"/>
      <c r="L509" s="119"/>
      <c r="M509" s="119"/>
      <c r="N509" s="119"/>
      <c r="O509" s="119"/>
      <c r="P509" s="119"/>
    </row>
    <row r="510" spans="3:16" x14ac:dyDescent="0.2">
      <c r="C510" s="119"/>
      <c r="D510" s="119"/>
      <c r="E510" s="119"/>
      <c r="F510" s="119"/>
      <c r="G510" s="119"/>
      <c r="H510" s="119"/>
      <c r="I510" s="143"/>
      <c r="J510" s="143"/>
      <c r="K510" s="119"/>
      <c r="L510" s="119"/>
      <c r="M510" s="119"/>
      <c r="N510" s="119"/>
      <c r="O510" s="119"/>
      <c r="P510" s="119"/>
    </row>
    <row r="511" spans="3:16" x14ac:dyDescent="0.2">
      <c r="C511" s="119"/>
      <c r="D511" s="119"/>
      <c r="E511" s="119"/>
      <c r="F511" s="119"/>
      <c r="G511" s="119"/>
      <c r="H511" s="119"/>
      <c r="I511" s="143"/>
      <c r="J511" s="143"/>
      <c r="K511" s="119"/>
      <c r="L511" s="119"/>
      <c r="M511" s="119"/>
      <c r="N511" s="119"/>
      <c r="O511" s="119"/>
      <c r="P511" s="119"/>
    </row>
    <row r="512" spans="3:16" x14ac:dyDescent="0.2">
      <c r="C512" s="119"/>
      <c r="D512" s="119"/>
      <c r="E512" s="119"/>
      <c r="F512" s="119"/>
      <c r="G512" s="119"/>
      <c r="H512" s="119"/>
      <c r="I512" s="143"/>
      <c r="J512" s="143"/>
      <c r="K512" s="119"/>
      <c r="L512" s="119"/>
      <c r="M512" s="119"/>
      <c r="N512" s="119"/>
      <c r="O512" s="119"/>
      <c r="P512" s="119"/>
    </row>
    <row r="513" spans="3:16" x14ac:dyDescent="0.2">
      <c r="C513" s="119"/>
      <c r="D513" s="119"/>
      <c r="E513" s="119"/>
      <c r="F513" s="119"/>
      <c r="G513" s="119"/>
      <c r="H513" s="119"/>
      <c r="I513" s="143"/>
      <c r="J513" s="143"/>
      <c r="K513" s="119"/>
      <c r="L513" s="119"/>
      <c r="M513" s="119"/>
      <c r="N513" s="119"/>
      <c r="O513" s="119"/>
      <c r="P513" s="119"/>
    </row>
    <row r="514" spans="3:16" x14ac:dyDescent="0.2">
      <c r="C514" s="119"/>
      <c r="D514" s="119"/>
      <c r="E514" s="119"/>
      <c r="F514" s="119"/>
      <c r="G514" s="119"/>
      <c r="H514" s="119"/>
      <c r="I514" s="143"/>
      <c r="J514" s="143"/>
      <c r="K514" s="119"/>
      <c r="L514" s="119"/>
      <c r="M514" s="119"/>
      <c r="N514" s="119"/>
      <c r="O514" s="119"/>
      <c r="P514" s="119"/>
    </row>
    <row r="515" spans="3:16" x14ac:dyDescent="0.2">
      <c r="C515" s="119"/>
      <c r="D515" s="119"/>
      <c r="E515" s="119"/>
      <c r="F515" s="119"/>
      <c r="G515" s="119"/>
      <c r="H515" s="119"/>
      <c r="I515" s="143"/>
      <c r="J515" s="143"/>
      <c r="K515" s="119"/>
      <c r="L515" s="119"/>
      <c r="M515" s="119"/>
      <c r="N515" s="119"/>
      <c r="O515" s="119"/>
      <c r="P515" s="119"/>
    </row>
    <row r="516" spans="3:16" x14ac:dyDescent="0.2">
      <c r="C516" s="119"/>
      <c r="D516" s="119"/>
      <c r="E516" s="119"/>
      <c r="F516" s="119"/>
      <c r="G516" s="119"/>
      <c r="H516" s="119"/>
      <c r="I516" s="143"/>
      <c r="J516" s="143"/>
      <c r="K516" s="119"/>
      <c r="L516" s="119"/>
      <c r="M516" s="119"/>
      <c r="N516" s="119"/>
      <c r="O516" s="119"/>
      <c r="P516" s="119"/>
    </row>
    <row r="517" spans="3:16" x14ac:dyDescent="0.2">
      <c r="C517" s="119"/>
      <c r="D517" s="119"/>
      <c r="E517" s="119"/>
      <c r="F517" s="119"/>
      <c r="G517" s="119"/>
      <c r="H517" s="119"/>
      <c r="I517" s="143"/>
      <c r="J517" s="143"/>
      <c r="K517" s="119"/>
      <c r="L517" s="119"/>
      <c r="M517" s="119"/>
      <c r="N517" s="119"/>
      <c r="O517" s="119"/>
      <c r="P517" s="119"/>
    </row>
    <row r="518" spans="3:16" x14ac:dyDescent="0.2">
      <c r="C518" s="119"/>
      <c r="D518" s="119"/>
      <c r="E518" s="119"/>
      <c r="F518" s="119"/>
      <c r="G518" s="119"/>
      <c r="H518" s="119"/>
      <c r="I518" s="143"/>
      <c r="J518" s="143"/>
      <c r="K518" s="119"/>
      <c r="L518" s="119"/>
      <c r="M518" s="119"/>
      <c r="N518" s="119"/>
      <c r="O518" s="119"/>
      <c r="P518" s="119"/>
    </row>
    <row r="519" spans="3:16" x14ac:dyDescent="0.2">
      <c r="C519" s="119"/>
      <c r="D519" s="119"/>
      <c r="E519" s="119"/>
      <c r="F519" s="119"/>
      <c r="G519" s="119"/>
      <c r="H519" s="119"/>
      <c r="I519" s="143"/>
      <c r="J519" s="143"/>
      <c r="K519" s="119"/>
      <c r="L519" s="119"/>
      <c r="M519" s="119"/>
      <c r="N519" s="119"/>
      <c r="O519" s="119"/>
      <c r="P519" s="119"/>
    </row>
    <row r="520" spans="3:16" x14ac:dyDescent="0.2">
      <c r="C520" s="119"/>
      <c r="D520" s="119"/>
      <c r="E520" s="119"/>
      <c r="F520" s="119"/>
      <c r="G520" s="119"/>
      <c r="H520" s="119"/>
      <c r="I520" s="143"/>
      <c r="J520" s="143"/>
      <c r="K520" s="119"/>
      <c r="L520" s="119"/>
      <c r="M520" s="119"/>
      <c r="N520" s="119"/>
      <c r="O520" s="119"/>
      <c r="P520" s="119"/>
    </row>
    <row r="521" spans="3:16" x14ac:dyDescent="0.2">
      <c r="C521" s="119"/>
      <c r="D521" s="119"/>
      <c r="E521" s="119"/>
      <c r="F521" s="119"/>
      <c r="G521" s="119"/>
      <c r="H521" s="119"/>
      <c r="I521" s="143"/>
      <c r="J521" s="143"/>
      <c r="K521" s="119"/>
      <c r="L521" s="119"/>
      <c r="M521" s="119"/>
      <c r="N521" s="119"/>
      <c r="O521" s="119"/>
      <c r="P521" s="119"/>
    </row>
    <row r="522" spans="3:16" x14ac:dyDescent="0.2">
      <c r="C522" s="119"/>
      <c r="D522" s="119"/>
      <c r="E522" s="119"/>
      <c r="F522" s="119"/>
      <c r="G522" s="119"/>
      <c r="H522" s="119"/>
      <c r="I522" s="143"/>
      <c r="J522" s="143"/>
      <c r="K522" s="119"/>
      <c r="L522" s="119"/>
      <c r="M522" s="119"/>
      <c r="N522" s="119"/>
      <c r="O522" s="119"/>
      <c r="P522" s="119"/>
    </row>
    <row r="523" spans="3:16" x14ac:dyDescent="0.2">
      <c r="C523" s="119"/>
      <c r="D523" s="119"/>
      <c r="E523" s="119"/>
      <c r="F523" s="119"/>
      <c r="G523" s="119"/>
      <c r="H523" s="119"/>
      <c r="I523" s="143"/>
      <c r="J523" s="143"/>
      <c r="K523" s="119"/>
      <c r="L523" s="119"/>
      <c r="M523" s="119"/>
      <c r="N523" s="119"/>
      <c r="O523" s="119"/>
      <c r="P523" s="119"/>
    </row>
    <row r="524" spans="3:16" x14ac:dyDescent="0.2">
      <c r="C524" s="119"/>
      <c r="D524" s="119"/>
      <c r="E524" s="119"/>
      <c r="F524" s="119"/>
      <c r="G524" s="119"/>
      <c r="H524" s="119"/>
      <c r="I524" s="143"/>
      <c r="J524" s="143"/>
      <c r="K524" s="119"/>
      <c r="L524" s="119"/>
      <c r="M524" s="119"/>
      <c r="N524" s="119"/>
      <c r="O524" s="119"/>
      <c r="P524" s="119"/>
    </row>
    <row r="525" spans="3:16" x14ac:dyDescent="0.2">
      <c r="C525" s="119"/>
      <c r="D525" s="119"/>
      <c r="E525" s="119"/>
      <c r="F525" s="119"/>
      <c r="G525" s="119"/>
      <c r="H525" s="119"/>
      <c r="I525" s="143"/>
      <c r="J525" s="143"/>
      <c r="K525" s="119"/>
      <c r="L525" s="119"/>
      <c r="M525" s="119"/>
      <c r="N525" s="119"/>
      <c r="O525" s="119"/>
      <c r="P525" s="119"/>
    </row>
    <row r="526" spans="3:16" x14ac:dyDescent="0.2">
      <c r="C526" s="119"/>
      <c r="D526" s="119"/>
      <c r="E526" s="119"/>
      <c r="F526" s="119"/>
      <c r="G526" s="119"/>
      <c r="H526" s="119"/>
      <c r="I526" s="143"/>
      <c r="J526" s="143"/>
      <c r="K526" s="119"/>
      <c r="L526" s="119"/>
      <c r="M526" s="119"/>
      <c r="N526" s="119"/>
      <c r="O526" s="119"/>
      <c r="P526" s="119"/>
    </row>
    <row r="527" spans="3:16" x14ac:dyDescent="0.2">
      <c r="C527" s="119"/>
      <c r="D527" s="119"/>
      <c r="E527" s="119"/>
      <c r="F527" s="119"/>
      <c r="G527" s="119"/>
      <c r="H527" s="119"/>
      <c r="I527" s="143"/>
      <c r="J527" s="143"/>
      <c r="K527" s="119"/>
      <c r="L527" s="119"/>
      <c r="M527" s="119"/>
      <c r="N527" s="119"/>
      <c r="O527" s="119"/>
      <c r="P527" s="119"/>
    </row>
    <row r="528" spans="3:16" x14ac:dyDescent="0.2">
      <c r="C528" s="119"/>
      <c r="D528" s="119"/>
      <c r="E528" s="119"/>
      <c r="F528" s="119"/>
      <c r="G528" s="119"/>
      <c r="H528" s="119"/>
      <c r="I528" s="143"/>
      <c r="J528" s="143"/>
      <c r="K528" s="119"/>
      <c r="L528" s="119"/>
      <c r="M528" s="119"/>
      <c r="N528" s="119"/>
      <c r="O528" s="119"/>
      <c r="P528" s="119"/>
    </row>
    <row r="529" spans="3:16" x14ac:dyDescent="0.2">
      <c r="C529" s="119"/>
      <c r="D529" s="119"/>
      <c r="E529" s="119"/>
      <c r="F529" s="119"/>
      <c r="G529" s="119"/>
      <c r="H529" s="119"/>
      <c r="I529" s="143"/>
      <c r="J529" s="143"/>
      <c r="K529" s="119"/>
      <c r="L529" s="119"/>
      <c r="M529" s="119"/>
      <c r="N529" s="119"/>
      <c r="O529" s="119"/>
      <c r="P529" s="119"/>
    </row>
    <row r="530" spans="3:16" x14ac:dyDescent="0.2">
      <c r="C530" s="119"/>
      <c r="D530" s="119"/>
      <c r="E530" s="119"/>
      <c r="F530" s="119"/>
      <c r="G530" s="119"/>
      <c r="H530" s="119"/>
      <c r="I530" s="143"/>
      <c r="J530" s="143"/>
      <c r="K530" s="119"/>
      <c r="L530" s="119"/>
      <c r="M530" s="119"/>
      <c r="N530" s="119"/>
      <c r="O530" s="119"/>
      <c r="P530" s="119"/>
    </row>
    <row r="531" spans="3:16" x14ac:dyDescent="0.2">
      <c r="C531" s="119"/>
      <c r="D531" s="119"/>
      <c r="E531" s="119"/>
      <c r="F531" s="119"/>
      <c r="G531" s="119"/>
      <c r="H531" s="119"/>
      <c r="I531" s="143"/>
      <c r="J531" s="143"/>
      <c r="K531" s="119"/>
      <c r="L531" s="119"/>
      <c r="M531" s="119"/>
      <c r="N531" s="119"/>
      <c r="O531" s="119"/>
      <c r="P531" s="119"/>
    </row>
    <row r="532" spans="3:16" x14ac:dyDescent="0.2">
      <c r="C532" s="119"/>
      <c r="D532" s="119"/>
      <c r="E532" s="119"/>
      <c r="F532" s="119"/>
      <c r="G532" s="119"/>
      <c r="H532" s="119"/>
      <c r="I532" s="143"/>
      <c r="J532" s="143"/>
      <c r="K532" s="119"/>
      <c r="L532" s="119"/>
      <c r="M532" s="119"/>
      <c r="N532" s="119"/>
      <c r="O532" s="119"/>
      <c r="P532" s="119"/>
    </row>
    <row r="533" spans="3:16" x14ac:dyDescent="0.2">
      <c r="C533" s="119"/>
      <c r="D533" s="119"/>
      <c r="E533" s="119"/>
      <c r="F533" s="119"/>
      <c r="G533" s="119"/>
      <c r="H533" s="119"/>
      <c r="I533" s="143"/>
      <c r="J533" s="143"/>
      <c r="K533" s="119"/>
      <c r="L533" s="119"/>
      <c r="M533" s="119"/>
      <c r="N533" s="119"/>
      <c r="O533" s="119"/>
      <c r="P533" s="119"/>
    </row>
    <row r="534" spans="3:16" x14ac:dyDescent="0.2">
      <c r="C534" s="119"/>
      <c r="D534" s="119"/>
      <c r="E534" s="119"/>
      <c r="F534" s="119"/>
      <c r="G534" s="119"/>
      <c r="H534" s="119"/>
      <c r="I534" s="143"/>
      <c r="J534" s="143"/>
      <c r="K534" s="119"/>
      <c r="L534" s="119"/>
      <c r="M534" s="119"/>
      <c r="N534" s="119"/>
      <c r="O534" s="119"/>
      <c r="P534" s="119"/>
    </row>
    <row r="535" spans="3:16" x14ac:dyDescent="0.2">
      <c r="C535" s="119"/>
      <c r="D535" s="119"/>
      <c r="E535" s="119"/>
      <c r="F535" s="119"/>
      <c r="G535" s="119"/>
      <c r="H535" s="119"/>
      <c r="I535" s="143"/>
      <c r="J535" s="143"/>
      <c r="K535" s="119"/>
      <c r="L535" s="119"/>
      <c r="M535" s="119"/>
      <c r="N535" s="119"/>
      <c r="O535" s="119"/>
      <c r="P535" s="119"/>
    </row>
    <row r="536" spans="3:16" x14ac:dyDescent="0.2">
      <c r="C536" s="119"/>
      <c r="D536" s="119"/>
      <c r="E536" s="119"/>
      <c r="F536" s="119"/>
      <c r="G536" s="119"/>
      <c r="H536" s="119"/>
      <c r="I536" s="143"/>
      <c r="J536" s="143"/>
      <c r="K536" s="119"/>
      <c r="L536" s="119"/>
      <c r="M536" s="119"/>
      <c r="N536" s="119"/>
      <c r="O536" s="119"/>
      <c r="P536" s="119"/>
    </row>
    <row r="537" spans="3:16" x14ac:dyDescent="0.2">
      <c r="C537" s="119"/>
      <c r="D537" s="119"/>
      <c r="E537" s="119"/>
      <c r="F537" s="119"/>
      <c r="G537" s="119"/>
      <c r="H537" s="119"/>
      <c r="I537" s="143"/>
      <c r="J537" s="143"/>
      <c r="K537" s="119"/>
      <c r="L537" s="119"/>
      <c r="M537" s="119"/>
      <c r="N537" s="119"/>
      <c r="O537" s="119"/>
      <c r="P537" s="119"/>
    </row>
    <row r="538" spans="3:16" x14ac:dyDescent="0.2">
      <c r="C538" s="119"/>
      <c r="D538" s="119"/>
      <c r="E538" s="119"/>
      <c r="F538" s="119"/>
      <c r="G538" s="119"/>
      <c r="H538" s="119"/>
      <c r="I538" s="143"/>
      <c r="J538" s="143"/>
      <c r="K538" s="119"/>
      <c r="L538" s="119"/>
      <c r="M538" s="119"/>
      <c r="N538" s="119"/>
      <c r="O538" s="119"/>
      <c r="P538" s="119"/>
    </row>
    <row r="539" spans="3:16" x14ac:dyDescent="0.2">
      <c r="C539" s="119"/>
      <c r="D539" s="119"/>
      <c r="E539" s="119"/>
      <c r="F539" s="119"/>
      <c r="G539" s="119"/>
      <c r="H539" s="119"/>
      <c r="I539" s="143"/>
      <c r="J539" s="143"/>
      <c r="K539" s="119"/>
      <c r="L539" s="119"/>
      <c r="M539" s="119"/>
      <c r="N539" s="119"/>
      <c r="O539" s="119"/>
      <c r="P539" s="119"/>
    </row>
    <row r="540" spans="3:16" x14ac:dyDescent="0.2">
      <c r="C540" s="119"/>
      <c r="D540" s="119"/>
      <c r="E540" s="119"/>
      <c r="F540" s="119"/>
      <c r="G540" s="119"/>
      <c r="H540" s="119"/>
      <c r="I540" s="143"/>
      <c r="J540" s="143"/>
      <c r="K540" s="119"/>
      <c r="L540" s="119"/>
      <c r="M540" s="119"/>
      <c r="N540" s="119"/>
      <c r="O540" s="119"/>
      <c r="P540" s="119"/>
    </row>
    <row r="541" spans="3:16" x14ac:dyDescent="0.2">
      <c r="C541" s="119"/>
      <c r="D541" s="119"/>
      <c r="E541" s="119"/>
      <c r="F541" s="119"/>
      <c r="G541" s="119"/>
      <c r="H541" s="119"/>
      <c r="I541" s="143"/>
      <c r="J541" s="143"/>
      <c r="K541" s="119"/>
      <c r="L541" s="119"/>
      <c r="M541" s="119"/>
      <c r="N541" s="119"/>
      <c r="O541" s="119"/>
      <c r="P541" s="119"/>
    </row>
    <row r="542" spans="3:16" x14ac:dyDescent="0.2">
      <c r="C542" s="119"/>
      <c r="D542" s="119"/>
      <c r="E542" s="119"/>
      <c r="F542" s="119"/>
      <c r="G542" s="119"/>
      <c r="H542" s="119"/>
      <c r="I542" s="143"/>
      <c r="J542" s="143"/>
      <c r="K542" s="119"/>
      <c r="L542" s="119"/>
      <c r="M542" s="119"/>
      <c r="N542" s="119"/>
      <c r="O542" s="119"/>
      <c r="P542" s="119"/>
    </row>
    <row r="543" spans="3:16" x14ac:dyDescent="0.2">
      <c r="C543" s="119"/>
      <c r="D543" s="119"/>
      <c r="E543" s="119"/>
      <c r="F543" s="119"/>
      <c r="G543" s="119"/>
      <c r="H543" s="119"/>
      <c r="I543" s="143"/>
      <c r="J543" s="143"/>
      <c r="K543" s="119"/>
      <c r="L543" s="119"/>
      <c r="M543" s="119"/>
      <c r="N543" s="119"/>
      <c r="O543" s="119"/>
      <c r="P543" s="119"/>
    </row>
    <row r="544" spans="3:16" x14ac:dyDescent="0.2">
      <c r="C544" s="119"/>
      <c r="D544" s="119"/>
      <c r="E544" s="119"/>
      <c r="F544" s="119"/>
      <c r="G544" s="119"/>
      <c r="H544" s="119"/>
      <c r="I544" s="143"/>
      <c r="J544" s="143"/>
      <c r="K544" s="119"/>
      <c r="L544" s="119"/>
      <c r="M544" s="119"/>
      <c r="N544" s="119"/>
      <c r="O544" s="119"/>
      <c r="P544" s="119"/>
    </row>
    <row r="545" spans="3:16" x14ac:dyDescent="0.2">
      <c r="C545" s="119"/>
      <c r="D545" s="119"/>
      <c r="E545" s="119"/>
      <c r="F545" s="119"/>
      <c r="G545" s="119"/>
      <c r="H545" s="119"/>
      <c r="I545" s="143"/>
      <c r="J545" s="143"/>
      <c r="K545" s="119"/>
      <c r="L545" s="119"/>
      <c r="M545" s="119"/>
      <c r="N545" s="119"/>
      <c r="O545" s="119"/>
      <c r="P545" s="119"/>
    </row>
    <row r="546" spans="3:16" x14ac:dyDescent="0.2">
      <c r="C546" s="119"/>
      <c r="D546" s="119"/>
      <c r="E546" s="119"/>
      <c r="F546" s="119"/>
      <c r="G546" s="119"/>
      <c r="H546" s="119"/>
      <c r="I546" s="143"/>
      <c r="J546" s="143"/>
      <c r="K546" s="119"/>
      <c r="L546" s="119"/>
      <c r="M546" s="119"/>
      <c r="N546" s="119"/>
      <c r="O546" s="119"/>
      <c r="P546" s="119"/>
    </row>
    <row r="547" spans="3:16" x14ac:dyDescent="0.2">
      <c r="C547" s="119"/>
      <c r="D547" s="119"/>
      <c r="E547" s="119"/>
      <c r="F547" s="119"/>
      <c r="G547" s="119"/>
      <c r="H547" s="119"/>
      <c r="I547" s="143"/>
      <c r="J547" s="143"/>
      <c r="K547" s="119"/>
      <c r="L547" s="119"/>
      <c r="M547" s="119"/>
      <c r="N547" s="119"/>
      <c r="O547" s="119"/>
      <c r="P547" s="119"/>
    </row>
    <row r="548" spans="3:16" x14ac:dyDescent="0.2">
      <c r="C548" s="119"/>
      <c r="D548" s="119"/>
      <c r="E548" s="119"/>
      <c r="F548" s="119"/>
      <c r="G548" s="119"/>
      <c r="H548" s="119"/>
      <c r="I548" s="143"/>
      <c r="J548" s="143"/>
      <c r="K548" s="119"/>
      <c r="L548" s="119"/>
      <c r="M548" s="119"/>
      <c r="N548" s="119"/>
      <c r="O548" s="119"/>
      <c r="P548" s="119"/>
    </row>
    <row r="549" spans="3:16" x14ac:dyDescent="0.2">
      <c r="C549" s="119"/>
      <c r="D549" s="119"/>
      <c r="E549" s="119"/>
      <c r="F549" s="119"/>
      <c r="G549" s="119"/>
      <c r="H549" s="119"/>
      <c r="I549" s="143"/>
      <c r="J549" s="143"/>
      <c r="K549" s="119"/>
      <c r="L549" s="119"/>
      <c r="M549" s="119"/>
      <c r="N549" s="119"/>
      <c r="O549" s="119"/>
      <c r="P549" s="119"/>
    </row>
    <row r="550" spans="3:16" x14ac:dyDescent="0.2">
      <c r="C550" s="119"/>
      <c r="D550" s="119"/>
      <c r="E550" s="119"/>
      <c r="F550" s="119"/>
      <c r="G550" s="119"/>
      <c r="H550" s="119"/>
      <c r="I550" s="143"/>
      <c r="J550" s="143"/>
      <c r="K550" s="119"/>
      <c r="L550" s="119"/>
      <c r="M550" s="119"/>
      <c r="N550" s="119"/>
      <c r="O550" s="119"/>
      <c r="P550" s="119"/>
    </row>
    <row r="551" spans="3:16" x14ac:dyDescent="0.2">
      <c r="C551" s="119"/>
      <c r="D551" s="119"/>
      <c r="E551" s="119"/>
      <c r="F551" s="119"/>
      <c r="G551" s="119"/>
      <c r="H551" s="119"/>
      <c r="I551" s="143"/>
      <c r="J551" s="143"/>
      <c r="K551" s="119"/>
      <c r="L551" s="119"/>
      <c r="M551" s="119"/>
      <c r="N551" s="119"/>
      <c r="O551" s="119"/>
      <c r="P551" s="119"/>
    </row>
    <row r="552" spans="3:16" x14ac:dyDescent="0.2">
      <c r="C552" s="119"/>
      <c r="D552" s="119"/>
      <c r="E552" s="119"/>
      <c r="F552" s="119"/>
      <c r="G552" s="119"/>
      <c r="H552" s="119"/>
      <c r="I552" s="143"/>
      <c r="J552" s="143"/>
      <c r="K552" s="119"/>
      <c r="L552" s="119"/>
      <c r="M552" s="119"/>
      <c r="N552" s="119"/>
      <c r="O552" s="119"/>
      <c r="P552" s="119"/>
    </row>
    <row r="553" spans="3:16" x14ac:dyDescent="0.2">
      <c r="C553" s="119"/>
      <c r="D553" s="119"/>
      <c r="E553" s="119"/>
      <c r="F553" s="119"/>
      <c r="G553" s="119"/>
      <c r="H553" s="119"/>
      <c r="I553" s="143"/>
      <c r="J553" s="143"/>
      <c r="K553" s="119"/>
      <c r="L553" s="119"/>
      <c r="M553" s="119"/>
      <c r="N553" s="119"/>
      <c r="O553" s="119"/>
      <c r="P553" s="119"/>
    </row>
    <row r="554" spans="3:16" x14ac:dyDescent="0.2">
      <c r="C554" s="119"/>
      <c r="D554" s="119"/>
      <c r="E554" s="119"/>
      <c r="F554" s="119"/>
      <c r="G554" s="119"/>
      <c r="H554" s="119"/>
      <c r="I554" s="143"/>
      <c r="J554" s="143"/>
      <c r="K554" s="119"/>
      <c r="L554" s="119"/>
      <c r="M554" s="119"/>
      <c r="N554" s="119"/>
      <c r="O554" s="119"/>
      <c r="P554" s="119"/>
    </row>
    <row r="555" spans="3:16" x14ac:dyDescent="0.2">
      <c r="C555" s="119"/>
      <c r="D555" s="119"/>
      <c r="E555" s="119"/>
      <c r="F555" s="119"/>
      <c r="G555" s="119"/>
      <c r="H555" s="119"/>
      <c r="I555" s="143"/>
      <c r="J555" s="143"/>
      <c r="K555" s="119"/>
      <c r="L555" s="119"/>
      <c r="M555" s="119"/>
      <c r="N555" s="119"/>
      <c r="O555" s="119"/>
      <c r="P555" s="119"/>
    </row>
    <row r="556" spans="3:16" x14ac:dyDescent="0.2">
      <c r="C556" s="119"/>
      <c r="D556" s="119"/>
      <c r="E556" s="119"/>
      <c r="F556" s="119"/>
      <c r="G556" s="119"/>
      <c r="H556" s="119"/>
      <c r="I556" s="143"/>
      <c r="J556" s="143"/>
      <c r="K556" s="119"/>
      <c r="L556" s="119"/>
      <c r="M556" s="119"/>
      <c r="N556" s="119"/>
      <c r="O556" s="119"/>
      <c r="P556" s="119"/>
    </row>
    <row r="557" spans="3:16" x14ac:dyDescent="0.2">
      <c r="C557" s="119"/>
      <c r="D557" s="119"/>
      <c r="E557" s="119"/>
      <c r="F557" s="119"/>
      <c r="G557" s="119"/>
      <c r="H557" s="119"/>
      <c r="I557" s="143"/>
      <c r="J557" s="143"/>
      <c r="K557" s="119"/>
      <c r="L557" s="119"/>
      <c r="M557" s="119"/>
      <c r="N557" s="119"/>
      <c r="O557" s="119"/>
      <c r="P557" s="119"/>
    </row>
    <row r="558" spans="3:16" x14ac:dyDescent="0.2">
      <c r="C558" s="119"/>
      <c r="D558" s="119"/>
      <c r="E558" s="119"/>
      <c r="F558" s="119"/>
      <c r="G558" s="119"/>
      <c r="H558" s="119"/>
      <c r="I558" s="143"/>
      <c r="J558" s="143"/>
      <c r="K558" s="119"/>
      <c r="L558" s="119"/>
      <c r="M558" s="119"/>
      <c r="N558" s="119"/>
      <c r="O558" s="119"/>
      <c r="P558" s="119"/>
    </row>
    <row r="559" spans="3:16" x14ac:dyDescent="0.2">
      <c r="C559" s="119"/>
      <c r="D559" s="119"/>
      <c r="E559" s="119"/>
      <c r="F559" s="119"/>
      <c r="G559" s="119"/>
      <c r="H559" s="119"/>
      <c r="I559" s="143"/>
      <c r="J559" s="143"/>
      <c r="K559" s="119"/>
      <c r="L559" s="119"/>
      <c r="M559" s="119"/>
      <c r="N559" s="119"/>
      <c r="O559" s="119"/>
      <c r="P559" s="119"/>
    </row>
    <row r="560" spans="3:16" x14ac:dyDescent="0.2">
      <c r="C560" s="119"/>
      <c r="D560" s="119"/>
      <c r="E560" s="119"/>
      <c r="F560" s="119"/>
      <c r="G560" s="119"/>
      <c r="H560" s="119"/>
      <c r="I560" s="143"/>
      <c r="J560" s="143"/>
      <c r="K560" s="119"/>
      <c r="L560" s="119"/>
      <c r="M560" s="119"/>
      <c r="N560" s="119"/>
      <c r="O560" s="119"/>
      <c r="P560" s="119"/>
    </row>
    <row r="561" spans="3:16" x14ac:dyDescent="0.2">
      <c r="C561" s="119"/>
      <c r="D561" s="119"/>
      <c r="E561" s="119"/>
      <c r="F561" s="119"/>
      <c r="G561" s="119"/>
      <c r="H561" s="119"/>
      <c r="I561" s="143"/>
      <c r="J561" s="143"/>
      <c r="K561" s="119"/>
      <c r="L561" s="119"/>
      <c r="M561" s="119"/>
      <c r="N561" s="119"/>
      <c r="O561" s="119"/>
      <c r="P561" s="119"/>
    </row>
    <row r="562" spans="3:16" x14ac:dyDescent="0.2">
      <c r="C562" s="119"/>
      <c r="D562" s="119"/>
      <c r="E562" s="119"/>
      <c r="F562" s="119"/>
      <c r="G562" s="119"/>
      <c r="H562" s="119"/>
      <c r="I562" s="143"/>
      <c r="J562" s="143"/>
      <c r="K562" s="119"/>
      <c r="L562" s="119"/>
      <c r="M562" s="119"/>
      <c r="N562" s="119"/>
      <c r="O562" s="119"/>
      <c r="P562" s="119"/>
    </row>
    <row r="563" spans="3:16" x14ac:dyDescent="0.2">
      <c r="C563" s="119"/>
      <c r="D563" s="119"/>
      <c r="E563" s="119"/>
      <c r="F563" s="119"/>
      <c r="G563" s="119"/>
      <c r="H563" s="119"/>
      <c r="I563" s="143"/>
      <c r="J563" s="143"/>
      <c r="K563" s="119"/>
      <c r="L563" s="119"/>
      <c r="M563" s="119"/>
      <c r="N563" s="119"/>
      <c r="O563" s="119"/>
      <c r="P563" s="119"/>
    </row>
    <row r="564" spans="3:16" x14ac:dyDescent="0.2">
      <c r="C564" s="119"/>
      <c r="D564" s="119"/>
      <c r="E564" s="119"/>
      <c r="F564" s="119"/>
      <c r="G564" s="119"/>
      <c r="H564" s="119"/>
      <c r="I564" s="143"/>
      <c r="J564" s="143"/>
      <c r="K564" s="119"/>
      <c r="L564" s="119"/>
      <c r="M564" s="119"/>
      <c r="N564" s="119"/>
      <c r="O564" s="119"/>
      <c r="P564" s="119"/>
    </row>
    <row r="565" spans="3:16" x14ac:dyDescent="0.2">
      <c r="C565" s="119"/>
      <c r="D565" s="119"/>
      <c r="E565" s="119"/>
      <c r="F565" s="119"/>
      <c r="G565" s="119"/>
      <c r="H565" s="119"/>
      <c r="I565" s="143"/>
      <c r="J565" s="143"/>
      <c r="K565" s="119"/>
      <c r="L565" s="119"/>
      <c r="M565" s="119"/>
      <c r="N565" s="119"/>
      <c r="O565" s="119"/>
      <c r="P565" s="119"/>
    </row>
    <row r="566" spans="3:16" x14ac:dyDescent="0.2">
      <c r="C566" s="119"/>
      <c r="D566" s="119"/>
      <c r="E566" s="119"/>
      <c r="F566" s="119"/>
      <c r="G566" s="119"/>
      <c r="H566" s="119"/>
      <c r="I566" s="143"/>
      <c r="J566" s="143"/>
      <c r="K566" s="119"/>
      <c r="L566" s="119"/>
      <c r="M566" s="119"/>
      <c r="N566" s="119"/>
      <c r="O566" s="119"/>
      <c r="P566" s="119"/>
    </row>
    <row r="567" spans="3:16" x14ac:dyDescent="0.2">
      <c r="C567" s="119"/>
      <c r="D567" s="119"/>
      <c r="E567" s="119"/>
      <c r="F567" s="119"/>
      <c r="G567" s="119"/>
      <c r="H567" s="119"/>
      <c r="I567" s="143"/>
      <c r="J567" s="143"/>
      <c r="K567" s="119"/>
      <c r="L567" s="119"/>
      <c r="M567" s="119"/>
      <c r="N567" s="119"/>
      <c r="O567" s="119"/>
      <c r="P567" s="119"/>
    </row>
    <row r="568" spans="3:16" x14ac:dyDescent="0.2">
      <c r="C568" s="119"/>
      <c r="D568" s="119"/>
      <c r="E568" s="119"/>
      <c r="F568" s="119"/>
      <c r="G568" s="119"/>
      <c r="H568" s="119"/>
      <c r="I568" s="143"/>
      <c r="J568" s="143"/>
      <c r="K568" s="119"/>
      <c r="L568" s="119"/>
      <c r="M568" s="119"/>
      <c r="N568" s="119"/>
      <c r="O568" s="119"/>
      <c r="P568" s="119"/>
    </row>
    <row r="569" spans="3:16" x14ac:dyDescent="0.2">
      <c r="C569" s="119"/>
      <c r="D569" s="119"/>
      <c r="E569" s="119"/>
      <c r="F569" s="119"/>
      <c r="G569" s="119"/>
      <c r="H569" s="119"/>
      <c r="I569" s="143"/>
      <c r="J569" s="143"/>
      <c r="K569" s="119"/>
      <c r="L569" s="119"/>
      <c r="M569" s="119"/>
      <c r="N569" s="119"/>
      <c r="O569" s="119"/>
      <c r="P569" s="119"/>
    </row>
    <row r="570" spans="3:16" x14ac:dyDescent="0.2">
      <c r="C570" s="119"/>
      <c r="D570" s="119"/>
      <c r="E570" s="119"/>
      <c r="F570" s="119"/>
      <c r="G570" s="119"/>
      <c r="H570" s="119"/>
      <c r="I570" s="143"/>
      <c r="J570" s="143"/>
      <c r="K570" s="119"/>
      <c r="L570" s="119"/>
      <c r="M570" s="119"/>
      <c r="N570" s="119"/>
      <c r="O570" s="119"/>
      <c r="P570" s="119"/>
    </row>
    <row r="571" spans="3:16" x14ac:dyDescent="0.2">
      <c r="C571" s="119"/>
      <c r="D571" s="119"/>
      <c r="E571" s="119"/>
      <c r="F571" s="119"/>
      <c r="G571" s="119"/>
      <c r="H571" s="119"/>
      <c r="I571" s="143"/>
      <c r="J571" s="143"/>
      <c r="K571" s="119"/>
      <c r="L571" s="119"/>
      <c r="M571" s="119"/>
      <c r="N571" s="119"/>
      <c r="O571" s="119"/>
      <c r="P571" s="119"/>
    </row>
    <row r="572" spans="3:16" x14ac:dyDescent="0.2">
      <c r="C572" s="119"/>
      <c r="D572" s="119"/>
      <c r="E572" s="119"/>
      <c r="F572" s="119"/>
      <c r="G572" s="119"/>
      <c r="H572" s="119"/>
      <c r="I572" s="143"/>
      <c r="J572" s="143"/>
      <c r="K572" s="119"/>
      <c r="L572" s="119"/>
      <c r="M572" s="119"/>
      <c r="N572" s="119"/>
      <c r="O572" s="119"/>
      <c r="P572" s="119"/>
    </row>
    <row r="573" spans="3:16" x14ac:dyDescent="0.2">
      <c r="C573" s="119"/>
      <c r="D573" s="119"/>
      <c r="E573" s="119"/>
      <c r="F573" s="119"/>
      <c r="G573" s="119"/>
      <c r="H573" s="119"/>
      <c r="I573" s="143"/>
      <c r="J573" s="143"/>
      <c r="K573" s="119"/>
      <c r="L573" s="119"/>
      <c r="M573" s="119"/>
      <c r="N573" s="119"/>
      <c r="O573" s="119"/>
      <c r="P573" s="119"/>
    </row>
    <row r="574" spans="3:16" x14ac:dyDescent="0.2">
      <c r="C574" s="119"/>
      <c r="D574" s="119"/>
      <c r="E574" s="119"/>
      <c r="F574" s="119"/>
      <c r="G574" s="119"/>
      <c r="H574" s="119"/>
      <c r="I574" s="143"/>
      <c r="J574" s="143"/>
      <c r="K574" s="119"/>
      <c r="L574" s="119"/>
      <c r="M574" s="119"/>
      <c r="N574" s="119"/>
      <c r="O574" s="119"/>
      <c r="P574" s="119"/>
    </row>
    <row r="575" spans="3:16" x14ac:dyDescent="0.2">
      <c r="C575" s="119"/>
      <c r="D575" s="119"/>
      <c r="E575" s="119"/>
      <c r="F575" s="119"/>
      <c r="G575" s="119"/>
      <c r="H575" s="119"/>
      <c r="I575" s="143"/>
      <c r="J575" s="143"/>
      <c r="K575" s="119"/>
      <c r="L575" s="119"/>
      <c r="M575" s="119"/>
      <c r="N575" s="119"/>
      <c r="O575" s="119"/>
      <c r="P575" s="119"/>
    </row>
    <row r="576" spans="3:16" x14ac:dyDescent="0.2">
      <c r="C576" s="119"/>
      <c r="D576" s="119"/>
      <c r="E576" s="119"/>
      <c r="F576" s="119"/>
      <c r="G576" s="119"/>
      <c r="H576" s="119"/>
      <c r="I576" s="143"/>
      <c r="J576" s="143"/>
      <c r="K576" s="119"/>
      <c r="L576" s="119"/>
      <c r="M576" s="119"/>
      <c r="N576" s="119"/>
      <c r="O576" s="119"/>
      <c r="P576" s="119"/>
    </row>
    <row r="577" spans="3:16" x14ac:dyDescent="0.2">
      <c r="C577" s="119"/>
      <c r="D577" s="119"/>
      <c r="E577" s="119"/>
      <c r="F577" s="119"/>
      <c r="G577" s="119"/>
      <c r="H577" s="119"/>
      <c r="I577" s="143"/>
      <c r="J577" s="143"/>
      <c r="K577" s="119"/>
      <c r="L577" s="119"/>
      <c r="M577" s="119"/>
      <c r="N577" s="119"/>
      <c r="O577" s="119"/>
      <c r="P577" s="119"/>
    </row>
    <row r="578" spans="3:16" x14ac:dyDescent="0.2">
      <c r="C578" s="119"/>
      <c r="D578" s="119"/>
      <c r="E578" s="119"/>
      <c r="F578" s="119"/>
      <c r="G578" s="119"/>
      <c r="H578" s="119"/>
      <c r="I578" s="143"/>
      <c r="J578" s="143"/>
      <c r="K578" s="119"/>
      <c r="L578" s="119"/>
      <c r="M578" s="119"/>
      <c r="N578" s="119"/>
      <c r="O578" s="119"/>
      <c r="P578" s="119"/>
    </row>
    <row r="579" spans="3:16" x14ac:dyDescent="0.2">
      <c r="C579" s="119"/>
      <c r="D579" s="119"/>
      <c r="E579" s="119"/>
      <c r="F579" s="119"/>
      <c r="G579" s="119"/>
      <c r="H579" s="119"/>
      <c r="I579" s="143"/>
      <c r="J579" s="143"/>
      <c r="K579" s="119"/>
      <c r="L579" s="119"/>
      <c r="M579" s="119"/>
      <c r="N579" s="119"/>
      <c r="O579" s="119"/>
      <c r="P579" s="119"/>
    </row>
    <row r="580" spans="3:16" x14ac:dyDescent="0.2">
      <c r="C580" s="119"/>
      <c r="D580" s="119"/>
      <c r="E580" s="119"/>
      <c r="F580" s="119"/>
      <c r="G580" s="119"/>
      <c r="H580" s="119"/>
      <c r="I580" s="143"/>
      <c r="J580" s="143"/>
      <c r="K580" s="119"/>
      <c r="L580" s="119"/>
      <c r="M580" s="119"/>
      <c r="N580" s="119"/>
      <c r="O580" s="119"/>
      <c r="P580" s="119"/>
    </row>
    <row r="581" spans="3:16" x14ac:dyDescent="0.2">
      <c r="C581" s="119"/>
      <c r="D581" s="119"/>
      <c r="E581" s="119"/>
      <c r="F581" s="119"/>
      <c r="G581" s="119"/>
      <c r="H581" s="119"/>
      <c r="I581" s="143"/>
      <c r="J581" s="143"/>
      <c r="K581" s="119"/>
      <c r="L581" s="119"/>
      <c r="M581" s="119"/>
      <c r="N581" s="119"/>
      <c r="O581" s="119"/>
      <c r="P581" s="119"/>
    </row>
    <row r="582" spans="3:16" x14ac:dyDescent="0.2">
      <c r="C582" s="119"/>
      <c r="D582" s="119"/>
      <c r="E582" s="119"/>
      <c r="F582" s="119"/>
      <c r="G582" s="119"/>
      <c r="H582" s="119"/>
      <c r="I582" s="143"/>
      <c r="J582" s="143"/>
      <c r="K582" s="119"/>
      <c r="L582" s="119"/>
      <c r="M582" s="119"/>
      <c r="N582" s="119"/>
      <c r="O582" s="119"/>
      <c r="P582" s="119"/>
    </row>
    <row r="583" spans="3:16" x14ac:dyDescent="0.2">
      <c r="C583" s="119"/>
      <c r="D583" s="119"/>
      <c r="E583" s="119"/>
      <c r="F583" s="119"/>
      <c r="G583" s="119"/>
      <c r="H583" s="119"/>
      <c r="I583" s="143"/>
      <c r="J583" s="143"/>
      <c r="K583" s="119"/>
      <c r="L583" s="119"/>
      <c r="M583" s="119"/>
      <c r="N583" s="119"/>
      <c r="O583" s="119"/>
      <c r="P583" s="119"/>
    </row>
    <row r="584" spans="3:16" x14ac:dyDescent="0.2">
      <c r="C584" s="119"/>
      <c r="D584" s="119"/>
      <c r="E584" s="119"/>
      <c r="F584" s="119"/>
      <c r="G584" s="119"/>
      <c r="H584" s="119"/>
      <c r="I584" s="143"/>
      <c r="J584" s="143"/>
      <c r="K584" s="119"/>
      <c r="L584" s="119"/>
      <c r="M584" s="119"/>
      <c r="N584" s="119"/>
      <c r="O584" s="119"/>
      <c r="P584" s="119"/>
    </row>
    <row r="585" spans="3:16" x14ac:dyDescent="0.2">
      <c r="C585" s="119"/>
      <c r="D585" s="119"/>
      <c r="E585" s="119"/>
      <c r="F585" s="119"/>
      <c r="G585" s="119"/>
      <c r="H585" s="119"/>
      <c r="I585" s="143"/>
      <c r="J585" s="143"/>
      <c r="K585" s="119"/>
      <c r="L585" s="119"/>
      <c r="M585" s="119"/>
      <c r="N585" s="119"/>
      <c r="O585" s="119"/>
      <c r="P585" s="119"/>
    </row>
    <row r="586" spans="3:16" x14ac:dyDescent="0.2">
      <c r="C586" s="119"/>
      <c r="D586" s="119"/>
      <c r="E586" s="119"/>
      <c r="F586" s="119"/>
      <c r="G586" s="119"/>
      <c r="H586" s="119"/>
      <c r="I586" s="143"/>
      <c r="J586" s="143"/>
      <c r="K586" s="119"/>
      <c r="L586" s="119"/>
      <c r="M586" s="119"/>
      <c r="N586" s="119"/>
      <c r="O586" s="119"/>
      <c r="P586" s="119"/>
    </row>
    <row r="587" spans="3:16" x14ac:dyDescent="0.2">
      <c r="C587" s="119"/>
      <c r="D587" s="119"/>
      <c r="E587" s="119"/>
      <c r="F587" s="119"/>
      <c r="G587" s="119"/>
      <c r="H587" s="119"/>
      <c r="I587" s="143"/>
      <c r="J587" s="143"/>
      <c r="K587" s="119"/>
      <c r="L587" s="119"/>
      <c r="M587" s="119"/>
      <c r="N587" s="119"/>
      <c r="O587" s="119"/>
      <c r="P587" s="119"/>
    </row>
    <row r="588" spans="3:16" x14ac:dyDescent="0.2">
      <c r="C588" s="119"/>
      <c r="D588" s="119"/>
      <c r="E588" s="119"/>
      <c r="F588" s="119"/>
      <c r="G588" s="119"/>
      <c r="H588" s="119"/>
      <c r="I588" s="143"/>
      <c r="J588" s="143"/>
      <c r="K588" s="119"/>
      <c r="L588" s="119"/>
      <c r="M588" s="119"/>
      <c r="N588" s="119"/>
      <c r="O588" s="119"/>
      <c r="P588" s="119"/>
    </row>
    <row r="589" spans="3:16" x14ac:dyDescent="0.2">
      <c r="C589" s="119"/>
      <c r="D589" s="119"/>
      <c r="E589" s="119"/>
      <c r="F589" s="119"/>
      <c r="G589" s="119"/>
      <c r="H589" s="119"/>
      <c r="I589" s="143"/>
      <c r="J589" s="143"/>
      <c r="K589" s="119"/>
      <c r="L589" s="119"/>
      <c r="M589" s="119"/>
      <c r="N589" s="119"/>
      <c r="O589" s="119"/>
      <c r="P589" s="119"/>
    </row>
    <row r="590" spans="3:16" x14ac:dyDescent="0.2">
      <c r="C590" s="119"/>
      <c r="D590" s="119"/>
      <c r="E590" s="119"/>
      <c r="F590" s="119"/>
      <c r="G590" s="119"/>
      <c r="H590" s="119"/>
      <c r="I590" s="143"/>
      <c r="J590" s="143"/>
      <c r="K590" s="119"/>
      <c r="L590" s="119"/>
      <c r="M590" s="119"/>
      <c r="N590" s="119"/>
      <c r="O590" s="119"/>
      <c r="P590" s="119"/>
    </row>
    <row r="591" spans="3:16" x14ac:dyDescent="0.2">
      <c r="C591" s="119"/>
      <c r="D591" s="119"/>
      <c r="E591" s="119"/>
      <c r="F591" s="119"/>
      <c r="G591" s="119"/>
      <c r="H591" s="119"/>
      <c r="I591" s="143"/>
      <c r="J591" s="143"/>
      <c r="K591" s="119"/>
      <c r="L591" s="119"/>
      <c r="M591" s="119"/>
      <c r="N591" s="119"/>
      <c r="O591" s="119"/>
      <c r="P591" s="119"/>
    </row>
    <row r="592" spans="3:16" x14ac:dyDescent="0.2">
      <c r="C592" s="119"/>
      <c r="D592" s="119"/>
      <c r="E592" s="119"/>
      <c r="F592" s="119"/>
      <c r="G592" s="119"/>
      <c r="H592" s="119"/>
      <c r="I592" s="143"/>
      <c r="J592" s="143"/>
      <c r="K592" s="119"/>
      <c r="L592" s="119"/>
      <c r="M592" s="119"/>
      <c r="N592" s="119"/>
      <c r="O592" s="119"/>
      <c r="P592" s="119"/>
    </row>
    <row r="593" spans="3:16" x14ac:dyDescent="0.2">
      <c r="C593" s="119"/>
      <c r="D593" s="119"/>
      <c r="E593" s="119"/>
      <c r="F593" s="119"/>
      <c r="G593" s="119"/>
      <c r="H593" s="119"/>
      <c r="I593" s="143"/>
      <c r="J593" s="143"/>
      <c r="K593" s="119"/>
      <c r="L593" s="119"/>
      <c r="M593" s="119"/>
      <c r="N593" s="119"/>
      <c r="O593" s="119"/>
      <c r="P593" s="119"/>
    </row>
    <row r="594" spans="3:16" x14ac:dyDescent="0.2">
      <c r="C594" s="119"/>
      <c r="D594" s="119"/>
      <c r="E594" s="119"/>
      <c r="F594" s="119"/>
      <c r="G594" s="119"/>
      <c r="H594" s="119"/>
      <c r="I594" s="143"/>
      <c r="J594" s="143"/>
      <c r="K594" s="119"/>
      <c r="L594" s="119"/>
      <c r="M594" s="119"/>
      <c r="N594" s="119"/>
      <c r="O594" s="119"/>
      <c r="P594" s="119"/>
    </row>
    <row r="595" spans="3:16" x14ac:dyDescent="0.2">
      <c r="C595" s="119"/>
      <c r="D595" s="119"/>
      <c r="E595" s="119"/>
      <c r="F595" s="119"/>
      <c r="G595" s="119"/>
      <c r="H595" s="119"/>
      <c r="I595" s="143"/>
      <c r="J595" s="143"/>
      <c r="K595" s="119"/>
      <c r="L595" s="119"/>
      <c r="M595" s="119"/>
      <c r="N595" s="119"/>
      <c r="O595" s="119"/>
      <c r="P595" s="119"/>
    </row>
    <row r="596" spans="3:16" x14ac:dyDescent="0.2">
      <c r="C596" s="119"/>
      <c r="D596" s="119"/>
      <c r="E596" s="119"/>
      <c r="F596" s="119"/>
      <c r="G596" s="119"/>
      <c r="H596" s="119"/>
      <c r="I596" s="143"/>
      <c r="J596" s="143"/>
      <c r="K596" s="119"/>
      <c r="L596" s="119"/>
      <c r="M596" s="119"/>
      <c r="N596" s="119"/>
      <c r="O596" s="119"/>
      <c r="P596" s="119"/>
    </row>
    <row r="597" spans="3:16" x14ac:dyDescent="0.2">
      <c r="C597" s="119"/>
      <c r="D597" s="119"/>
      <c r="E597" s="119"/>
      <c r="F597" s="119"/>
      <c r="G597" s="119"/>
      <c r="H597" s="119"/>
      <c r="I597" s="143"/>
      <c r="J597" s="143"/>
      <c r="K597" s="119"/>
      <c r="L597" s="119"/>
      <c r="M597" s="119"/>
      <c r="N597" s="119"/>
      <c r="O597" s="119"/>
      <c r="P597" s="119"/>
    </row>
    <row r="598" spans="3:16" x14ac:dyDescent="0.2">
      <c r="C598" s="119"/>
      <c r="D598" s="119"/>
      <c r="E598" s="119"/>
      <c r="F598" s="119"/>
      <c r="G598" s="119"/>
      <c r="H598" s="119"/>
      <c r="I598" s="143"/>
      <c r="J598" s="143"/>
      <c r="K598" s="119"/>
      <c r="L598" s="119"/>
      <c r="M598" s="119"/>
      <c r="N598" s="119"/>
      <c r="O598" s="119"/>
      <c r="P598" s="119"/>
    </row>
    <row r="599" spans="3:16" x14ac:dyDescent="0.2">
      <c r="C599" s="119"/>
      <c r="D599" s="119"/>
      <c r="E599" s="119"/>
      <c r="F599" s="119"/>
      <c r="G599" s="119"/>
      <c r="H599" s="119"/>
      <c r="I599" s="143"/>
      <c r="J599" s="143"/>
      <c r="K599" s="119"/>
      <c r="L599" s="119"/>
      <c r="M599" s="119"/>
      <c r="N599" s="119"/>
      <c r="O599" s="119"/>
      <c r="P599" s="119"/>
    </row>
    <row r="600" spans="3:16" x14ac:dyDescent="0.2">
      <c r="C600" s="119"/>
      <c r="D600" s="119"/>
      <c r="E600" s="119"/>
      <c r="F600" s="119"/>
      <c r="G600" s="119"/>
      <c r="H600" s="119"/>
      <c r="I600" s="143"/>
      <c r="J600" s="143"/>
      <c r="K600" s="119"/>
      <c r="L600" s="119"/>
      <c r="M600" s="119"/>
      <c r="N600" s="119"/>
      <c r="O600" s="119"/>
      <c r="P600" s="119"/>
    </row>
    <row r="601" spans="3:16" x14ac:dyDescent="0.2">
      <c r="C601" s="119"/>
      <c r="D601" s="119"/>
      <c r="E601" s="119"/>
      <c r="F601" s="119"/>
      <c r="G601" s="119"/>
      <c r="H601" s="119"/>
      <c r="I601" s="143"/>
      <c r="J601" s="143"/>
      <c r="K601" s="119"/>
      <c r="L601" s="119"/>
      <c r="M601" s="119"/>
      <c r="N601" s="119"/>
      <c r="O601" s="119"/>
      <c r="P601" s="119"/>
    </row>
    <row r="602" spans="3:16" x14ac:dyDescent="0.2">
      <c r="C602" s="119"/>
      <c r="D602" s="119"/>
      <c r="E602" s="119"/>
      <c r="F602" s="119"/>
      <c r="G602" s="119"/>
      <c r="H602" s="119"/>
      <c r="I602" s="143"/>
      <c r="J602" s="143"/>
      <c r="K602" s="119"/>
      <c r="L602" s="119"/>
      <c r="M602" s="119"/>
      <c r="N602" s="119"/>
      <c r="O602" s="119"/>
      <c r="P602" s="119"/>
    </row>
    <row r="603" spans="3:16" x14ac:dyDescent="0.2">
      <c r="C603" s="119"/>
      <c r="D603" s="119"/>
      <c r="E603" s="119"/>
      <c r="F603" s="119"/>
      <c r="G603" s="119"/>
      <c r="H603" s="119"/>
      <c r="I603" s="143"/>
      <c r="J603" s="143"/>
      <c r="K603" s="119"/>
      <c r="L603" s="119"/>
      <c r="M603" s="119"/>
      <c r="N603" s="119"/>
      <c r="O603" s="119"/>
      <c r="P603" s="119"/>
    </row>
    <row r="604" spans="3:16" x14ac:dyDescent="0.2">
      <c r="C604" s="119"/>
      <c r="D604" s="119"/>
      <c r="E604" s="119"/>
      <c r="F604" s="119"/>
      <c r="G604" s="119"/>
      <c r="H604" s="119"/>
      <c r="I604" s="143"/>
      <c r="J604" s="143"/>
      <c r="K604" s="119"/>
      <c r="L604" s="119"/>
      <c r="M604" s="119"/>
      <c r="N604" s="119"/>
      <c r="O604" s="119"/>
      <c r="P604" s="119"/>
    </row>
    <row r="605" spans="3:16" x14ac:dyDescent="0.2">
      <c r="C605" s="119"/>
      <c r="D605" s="119"/>
      <c r="E605" s="119"/>
      <c r="F605" s="119"/>
      <c r="G605" s="119"/>
      <c r="H605" s="119"/>
      <c r="I605" s="143"/>
      <c r="J605" s="143"/>
      <c r="K605" s="119"/>
      <c r="L605" s="119"/>
      <c r="M605" s="119"/>
      <c r="N605" s="119"/>
      <c r="O605" s="119"/>
      <c r="P605" s="119"/>
    </row>
    <row r="606" spans="3:16" x14ac:dyDescent="0.2">
      <c r="C606" s="119"/>
      <c r="D606" s="119"/>
      <c r="E606" s="119"/>
      <c r="F606" s="119"/>
      <c r="G606" s="119"/>
      <c r="H606" s="119"/>
      <c r="I606" s="143"/>
      <c r="J606" s="143"/>
      <c r="K606" s="119"/>
      <c r="L606" s="119"/>
      <c r="M606" s="119"/>
      <c r="N606" s="119"/>
      <c r="O606" s="119"/>
      <c r="P606" s="119"/>
    </row>
    <row r="607" spans="3:16" x14ac:dyDescent="0.2">
      <c r="C607" s="119"/>
      <c r="D607" s="119"/>
      <c r="E607" s="119"/>
      <c r="F607" s="119"/>
      <c r="G607" s="119"/>
      <c r="H607" s="119"/>
      <c r="I607" s="143"/>
      <c r="J607" s="143"/>
      <c r="K607" s="119"/>
      <c r="L607" s="119"/>
      <c r="M607" s="119"/>
      <c r="N607" s="119"/>
      <c r="O607" s="119"/>
      <c r="P607" s="119"/>
    </row>
    <row r="608" spans="3:16" x14ac:dyDescent="0.2">
      <c r="C608" s="119"/>
      <c r="D608" s="119"/>
      <c r="E608" s="119"/>
      <c r="F608" s="119"/>
      <c r="G608" s="119"/>
      <c r="H608" s="119"/>
      <c r="I608" s="143"/>
      <c r="J608" s="143"/>
      <c r="K608" s="119"/>
      <c r="L608" s="119"/>
      <c r="M608" s="119"/>
      <c r="N608" s="119"/>
      <c r="O608" s="119"/>
      <c r="P608" s="119"/>
    </row>
    <row r="609" spans="3:16" x14ac:dyDescent="0.2">
      <c r="C609" s="119"/>
      <c r="D609" s="119"/>
      <c r="E609" s="119"/>
      <c r="F609" s="119"/>
      <c r="G609" s="119"/>
      <c r="H609" s="119"/>
      <c r="I609" s="143"/>
      <c r="J609" s="143"/>
      <c r="K609" s="119"/>
      <c r="L609" s="119"/>
      <c r="M609" s="119"/>
      <c r="N609" s="119"/>
      <c r="O609" s="119"/>
      <c r="P609" s="119"/>
    </row>
    <row r="610" spans="3:16" x14ac:dyDescent="0.2">
      <c r="C610" s="119"/>
      <c r="D610" s="119"/>
      <c r="E610" s="119"/>
      <c r="F610" s="119"/>
      <c r="G610" s="119"/>
      <c r="H610" s="119"/>
      <c r="I610" s="143"/>
      <c r="J610" s="143"/>
      <c r="K610" s="119"/>
      <c r="L610" s="119"/>
      <c r="M610" s="119"/>
      <c r="N610" s="119"/>
      <c r="O610" s="119"/>
      <c r="P610" s="119"/>
    </row>
    <row r="611" spans="3:16" x14ac:dyDescent="0.2">
      <c r="C611" s="119"/>
      <c r="D611" s="119"/>
      <c r="E611" s="119"/>
      <c r="F611" s="119"/>
      <c r="G611" s="119"/>
      <c r="H611" s="119"/>
      <c r="I611" s="143"/>
      <c r="J611" s="143"/>
      <c r="K611" s="119"/>
      <c r="L611" s="119"/>
      <c r="M611" s="119"/>
      <c r="N611" s="119"/>
      <c r="O611" s="119"/>
      <c r="P611" s="119"/>
    </row>
    <row r="612" spans="3:16" x14ac:dyDescent="0.2">
      <c r="C612" s="119"/>
      <c r="D612" s="119"/>
      <c r="E612" s="119"/>
      <c r="F612" s="119"/>
      <c r="G612" s="119"/>
      <c r="H612" s="119"/>
      <c r="I612" s="143"/>
      <c r="J612" s="143"/>
      <c r="K612" s="119"/>
      <c r="L612" s="119"/>
      <c r="M612" s="119"/>
      <c r="N612" s="119"/>
      <c r="O612" s="119"/>
      <c r="P612" s="119"/>
    </row>
    <row r="613" spans="3:16" x14ac:dyDescent="0.2">
      <c r="C613" s="119"/>
      <c r="D613" s="119"/>
      <c r="E613" s="119"/>
      <c r="F613" s="119"/>
      <c r="G613" s="119"/>
      <c r="H613" s="119"/>
      <c r="I613" s="143"/>
      <c r="J613" s="143"/>
      <c r="K613" s="119"/>
      <c r="L613" s="119"/>
      <c r="M613" s="119"/>
      <c r="N613" s="119"/>
      <c r="O613" s="119"/>
      <c r="P613" s="119"/>
    </row>
    <row r="614" spans="3:16" x14ac:dyDescent="0.2">
      <c r="C614" s="119"/>
      <c r="D614" s="119"/>
      <c r="E614" s="119"/>
      <c r="F614" s="119"/>
      <c r="G614" s="119"/>
      <c r="H614" s="119"/>
      <c r="I614" s="143"/>
      <c r="J614" s="143"/>
      <c r="K614" s="119"/>
      <c r="L614" s="119"/>
      <c r="M614" s="119"/>
      <c r="N614" s="119"/>
      <c r="O614" s="119"/>
      <c r="P614" s="119"/>
    </row>
    <row r="615" spans="3:16" x14ac:dyDescent="0.2">
      <c r="C615" s="119"/>
      <c r="D615" s="119"/>
      <c r="E615" s="119"/>
      <c r="F615" s="119"/>
      <c r="G615" s="119"/>
      <c r="H615" s="119"/>
      <c r="I615" s="143"/>
      <c r="J615" s="143"/>
      <c r="K615" s="119"/>
      <c r="L615" s="119"/>
      <c r="M615" s="119"/>
      <c r="N615" s="119"/>
      <c r="O615" s="119"/>
      <c r="P615" s="119"/>
    </row>
    <row r="616" spans="3:16" x14ac:dyDescent="0.2">
      <c r="C616" s="119"/>
      <c r="D616" s="119"/>
      <c r="E616" s="119"/>
      <c r="F616" s="119"/>
      <c r="G616" s="119"/>
      <c r="H616" s="119"/>
      <c r="I616" s="143"/>
      <c r="J616" s="143"/>
      <c r="K616" s="119"/>
      <c r="L616" s="119"/>
      <c r="M616" s="119"/>
      <c r="N616" s="119"/>
      <c r="O616" s="119"/>
      <c r="P616" s="119"/>
    </row>
    <row r="617" spans="3:16" x14ac:dyDescent="0.2">
      <c r="C617" s="119"/>
      <c r="D617" s="119"/>
      <c r="E617" s="119"/>
      <c r="F617" s="119"/>
      <c r="G617" s="119"/>
      <c r="H617" s="119"/>
      <c r="I617" s="143"/>
      <c r="J617" s="143"/>
      <c r="K617" s="119"/>
      <c r="L617" s="119"/>
      <c r="M617" s="119"/>
      <c r="N617" s="119"/>
      <c r="O617" s="119"/>
      <c r="P617" s="119"/>
    </row>
    <row r="618" spans="3:16" x14ac:dyDescent="0.2">
      <c r="C618" s="119"/>
      <c r="D618" s="119"/>
      <c r="E618" s="119"/>
      <c r="F618" s="119"/>
      <c r="G618" s="119"/>
      <c r="H618" s="119"/>
      <c r="I618" s="143"/>
      <c r="J618" s="143"/>
      <c r="K618" s="119"/>
      <c r="L618" s="119"/>
      <c r="M618" s="119"/>
      <c r="N618" s="119"/>
      <c r="O618" s="119"/>
      <c r="P618" s="119"/>
    </row>
    <row r="619" spans="3:16" x14ac:dyDescent="0.2">
      <c r="C619" s="119"/>
      <c r="D619" s="119"/>
      <c r="E619" s="119"/>
      <c r="F619" s="119"/>
      <c r="G619" s="119"/>
      <c r="H619" s="119"/>
      <c r="I619" s="143"/>
      <c r="J619" s="143"/>
      <c r="K619" s="119"/>
      <c r="L619" s="119"/>
      <c r="M619" s="119"/>
      <c r="N619" s="119"/>
      <c r="O619" s="119"/>
      <c r="P619" s="119"/>
    </row>
    <row r="620" spans="3:16" x14ac:dyDescent="0.2">
      <c r="C620" s="119"/>
      <c r="D620" s="119"/>
      <c r="E620" s="119"/>
      <c r="F620" s="119"/>
      <c r="G620" s="119"/>
      <c r="H620" s="119"/>
      <c r="I620" s="143"/>
      <c r="J620" s="143"/>
      <c r="K620" s="119"/>
      <c r="L620" s="119"/>
      <c r="M620" s="119"/>
      <c r="N620" s="119"/>
      <c r="O620" s="119"/>
      <c r="P620" s="119"/>
    </row>
    <row r="621" spans="3:16" x14ac:dyDescent="0.2">
      <c r="C621" s="119"/>
      <c r="D621" s="119"/>
      <c r="E621" s="119"/>
      <c r="F621" s="119"/>
      <c r="G621" s="119"/>
      <c r="H621" s="119"/>
      <c r="I621" s="143"/>
      <c r="J621" s="143"/>
      <c r="K621" s="119"/>
      <c r="L621" s="119"/>
      <c r="M621" s="119"/>
      <c r="N621" s="119"/>
      <c r="O621" s="119"/>
      <c r="P621" s="119"/>
    </row>
    <row r="622" spans="3:16" x14ac:dyDescent="0.2">
      <c r="C622" s="119"/>
      <c r="D622" s="119"/>
      <c r="E622" s="119"/>
      <c r="F622" s="119"/>
      <c r="G622" s="119"/>
      <c r="H622" s="119"/>
      <c r="I622" s="143"/>
      <c r="J622" s="143"/>
      <c r="K622" s="119"/>
      <c r="L622" s="119"/>
      <c r="M622" s="119"/>
      <c r="N622" s="119"/>
      <c r="O622" s="119"/>
      <c r="P622" s="119"/>
    </row>
    <row r="623" spans="3:16" x14ac:dyDescent="0.2">
      <c r="C623" s="119"/>
      <c r="D623" s="119"/>
      <c r="E623" s="119"/>
      <c r="F623" s="119"/>
      <c r="G623" s="119"/>
      <c r="H623" s="119"/>
      <c r="I623" s="143"/>
      <c r="J623" s="143"/>
      <c r="K623" s="119"/>
      <c r="L623" s="119"/>
      <c r="M623" s="119"/>
      <c r="N623" s="119"/>
      <c r="O623" s="119"/>
      <c r="P623" s="119"/>
    </row>
    <row r="624" spans="3:16" x14ac:dyDescent="0.2">
      <c r="C624" s="119"/>
      <c r="D624" s="119"/>
      <c r="E624" s="119"/>
      <c r="F624" s="119"/>
      <c r="G624" s="119"/>
      <c r="H624" s="119"/>
      <c r="I624" s="143"/>
      <c r="J624" s="143"/>
      <c r="K624" s="119"/>
      <c r="L624" s="119"/>
      <c r="M624" s="119"/>
      <c r="N624" s="119"/>
      <c r="O624" s="119"/>
      <c r="P624" s="119"/>
    </row>
    <row r="625" spans="3:16" x14ac:dyDescent="0.2">
      <c r="C625" s="119"/>
      <c r="D625" s="119"/>
      <c r="E625" s="119"/>
      <c r="F625" s="119"/>
      <c r="G625" s="119"/>
      <c r="H625" s="119"/>
      <c r="I625" s="143"/>
      <c r="J625" s="143"/>
      <c r="K625" s="119"/>
      <c r="L625" s="119"/>
      <c r="M625" s="119"/>
      <c r="N625" s="119"/>
      <c r="O625" s="119"/>
      <c r="P625" s="119"/>
    </row>
    <row r="626" spans="3:16" x14ac:dyDescent="0.2">
      <c r="C626" s="119"/>
      <c r="D626" s="119"/>
      <c r="E626" s="119"/>
      <c r="F626" s="119"/>
      <c r="G626" s="119"/>
      <c r="H626" s="119"/>
      <c r="I626" s="143"/>
      <c r="J626" s="143"/>
      <c r="K626" s="119"/>
      <c r="L626" s="119"/>
      <c r="M626" s="119"/>
      <c r="N626" s="119"/>
      <c r="O626" s="119"/>
      <c r="P626" s="119"/>
    </row>
    <row r="627" spans="3:16" x14ac:dyDescent="0.2">
      <c r="C627" s="119"/>
      <c r="D627" s="119"/>
      <c r="E627" s="119"/>
      <c r="F627" s="119"/>
      <c r="G627" s="119"/>
      <c r="H627" s="119"/>
      <c r="I627" s="143"/>
      <c r="J627" s="143"/>
      <c r="K627" s="119"/>
      <c r="L627" s="119"/>
      <c r="M627" s="119"/>
      <c r="N627" s="119"/>
      <c r="O627" s="119"/>
      <c r="P627" s="119"/>
    </row>
    <row r="628" spans="3:16" x14ac:dyDescent="0.2">
      <c r="C628" s="119"/>
      <c r="D628" s="119"/>
      <c r="E628" s="119"/>
      <c r="F628" s="119"/>
      <c r="G628" s="119"/>
      <c r="H628" s="119"/>
      <c r="I628" s="143"/>
      <c r="J628" s="143"/>
      <c r="K628" s="119"/>
      <c r="L628" s="119"/>
      <c r="M628" s="119"/>
      <c r="N628" s="119"/>
      <c r="O628" s="119"/>
      <c r="P628" s="119"/>
    </row>
    <row r="629" spans="3:16" x14ac:dyDescent="0.2">
      <c r="C629" s="119"/>
      <c r="D629" s="119"/>
      <c r="E629" s="119"/>
      <c r="F629" s="119"/>
      <c r="G629" s="119"/>
      <c r="H629" s="119"/>
      <c r="I629" s="143"/>
      <c r="J629" s="143"/>
      <c r="K629" s="119"/>
      <c r="L629" s="119"/>
      <c r="M629" s="119"/>
      <c r="N629" s="119"/>
      <c r="O629" s="119"/>
      <c r="P629" s="119"/>
    </row>
    <row r="630" spans="3:16" x14ac:dyDescent="0.2">
      <c r="C630" s="119"/>
      <c r="D630" s="119"/>
      <c r="E630" s="119"/>
      <c r="F630" s="119"/>
      <c r="G630" s="119"/>
      <c r="H630" s="119"/>
      <c r="I630" s="143"/>
      <c r="J630" s="143"/>
      <c r="K630" s="119"/>
      <c r="L630" s="119"/>
      <c r="M630" s="119"/>
      <c r="N630" s="119"/>
      <c r="O630" s="119"/>
      <c r="P630" s="119"/>
    </row>
    <row r="631" spans="3:16" x14ac:dyDescent="0.2">
      <c r="C631" s="119"/>
      <c r="D631" s="119"/>
      <c r="E631" s="119"/>
      <c r="F631" s="119"/>
      <c r="G631" s="119"/>
      <c r="H631" s="119"/>
      <c r="I631" s="143"/>
      <c r="J631" s="143"/>
      <c r="K631" s="119"/>
      <c r="L631" s="119"/>
      <c r="M631" s="119"/>
      <c r="N631" s="119"/>
      <c r="O631" s="119"/>
      <c r="P631" s="119"/>
    </row>
    <row r="632" spans="3:16" x14ac:dyDescent="0.2">
      <c r="C632" s="119"/>
      <c r="D632" s="119"/>
      <c r="E632" s="119"/>
      <c r="F632" s="119"/>
      <c r="G632" s="119"/>
      <c r="H632" s="119"/>
      <c r="I632" s="143"/>
      <c r="J632" s="143"/>
      <c r="K632" s="119"/>
      <c r="L632" s="119"/>
      <c r="M632" s="119"/>
      <c r="N632" s="119"/>
      <c r="O632" s="119"/>
      <c r="P632" s="119"/>
    </row>
    <row r="633" spans="3:16" x14ac:dyDescent="0.2">
      <c r="C633" s="119"/>
      <c r="D633" s="119"/>
      <c r="E633" s="119"/>
      <c r="F633" s="119"/>
      <c r="G633" s="119"/>
      <c r="H633" s="119"/>
      <c r="I633" s="143"/>
      <c r="J633" s="143"/>
      <c r="K633" s="119"/>
      <c r="L633" s="119"/>
      <c r="M633" s="119"/>
      <c r="N633" s="119"/>
      <c r="O633" s="119"/>
      <c r="P633" s="119"/>
    </row>
    <row r="634" spans="3:16" x14ac:dyDescent="0.2">
      <c r="C634" s="119"/>
      <c r="D634" s="119"/>
      <c r="E634" s="119"/>
      <c r="F634" s="119"/>
      <c r="G634" s="119"/>
      <c r="H634" s="119"/>
      <c r="I634" s="143"/>
      <c r="J634" s="143"/>
      <c r="K634" s="119"/>
      <c r="L634" s="119"/>
      <c r="M634" s="119"/>
      <c r="N634" s="119"/>
      <c r="O634" s="119"/>
      <c r="P634" s="119"/>
    </row>
    <row r="635" spans="3:16" x14ac:dyDescent="0.2">
      <c r="C635" s="119"/>
      <c r="D635" s="119"/>
      <c r="E635" s="119"/>
      <c r="F635" s="119"/>
      <c r="G635" s="119"/>
      <c r="H635" s="119"/>
      <c r="I635" s="143"/>
      <c r="J635" s="143"/>
      <c r="K635" s="119"/>
      <c r="L635" s="119"/>
      <c r="M635" s="119"/>
      <c r="N635" s="119"/>
      <c r="O635" s="119"/>
      <c r="P635" s="119"/>
    </row>
    <row r="636" spans="3:16" x14ac:dyDescent="0.2">
      <c r="C636" s="119"/>
      <c r="D636" s="119"/>
      <c r="E636" s="119"/>
      <c r="F636" s="119"/>
      <c r="G636" s="119"/>
      <c r="H636" s="119"/>
      <c r="I636" s="143"/>
      <c r="J636" s="143"/>
      <c r="K636" s="119"/>
      <c r="L636" s="119"/>
      <c r="M636" s="119"/>
      <c r="N636" s="119"/>
      <c r="O636" s="119"/>
      <c r="P636" s="119"/>
    </row>
    <row r="637" spans="3:16" x14ac:dyDescent="0.2">
      <c r="C637" s="119"/>
      <c r="D637" s="119"/>
      <c r="E637" s="119"/>
      <c r="F637" s="119"/>
      <c r="G637" s="119"/>
      <c r="H637" s="119"/>
      <c r="I637" s="143"/>
      <c r="J637" s="143"/>
      <c r="K637" s="119"/>
      <c r="L637" s="119"/>
      <c r="M637" s="119"/>
      <c r="N637" s="119"/>
      <c r="O637" s="119"/>
      <c r="P637" s="119"/>
    </row>
    <row r="638" spans="3:16" x14ac:dyDescent="0.2">
      <c r="C638" s="119"/>
      <c r="D638" s="119"/>
      <c r="E638" s="119"/>
      <c r="F638" s="119"/>
      <c r="G638" s="119"/>
      <c r="H638" s="119"/>
      <c r="I638" s="143"/>
      <c r="J638" s="143"/>
      <c r="K638" s="119"/>
      <c r="L638" s="119"/>
      <c r="M638" s="119"/>
      <c r="N638" s="119"/>
      <c r="O638" s="119"/>
      <c r="P638" s="119"/>
    </row>
    <row r="639" spans="3:16" x14ac:dyDescent="0.2">
      <c r="C639" s="119"/>
      <c r="D639" s="119"/>
      <c r="E639" s="119"/>
      <c r="F639" s="119"/>
      <c r="G639" s="119"/>
      <c r="H639" s="119"/>
      <c r="I639" s="143"/>
      <c r="J639" s="143"/>
      <c r="K639" s="119"/>
      <c r="L639" s="119"/>
      <c r="M639" s="119"/>
      <c r="N639" s="119"/>
      <c r="O639" s="119"/>
      <c r="P639" s="119"/>
    </row>
    <row r="640" spans="3:16" x14ac:dyDescent="0.2">
      <c r="C640" s="119"/>
      <c r="D640" s="119"/>
      <c r="E640" s="119"/>
      <c r="F640" s="119"/>
      <c r="G640" s="119"/>
      <c r="H640" s="119"/>
      <c r="I640" s="143"/>
      <c r="J640" s="143"/>
      <c r="K640" s="119"/>
      <c r="L640" s="119"/>
      <c r="M640" s="119"/>
      <c r="N640" s="119"/>
      <c r="O640" s="119"/>
      <c r="P640" s="119"/>
    </row>
    <row r="641" spans="3:16" x14ac:dyDescent="0.2">
      <c r="C641" s="119"/>
      <c r="D641" s="119"/>
      <c r="E641" s="119"/>
      <c r="F641" s="119"/>
      <c r="G641" s="119"/>
      <c r="H641" s="119"/>
      <c r="I641" s="143"/>
      <c r="J641" s="143"/>
      <c r="K641" s="119"/>
      <c r="L641" s="119"/>
      <c r="M641" s="119"/>
      <c r="N641" s="119"/>
      <c r="O641" s="119"/>
      <c r="P641" s="119"/>
    </row>
    <row r="642" spans="3:16" x14ac:dyDescent="0.2">
      <c r="C642" s="119"/>
      <c r="D642" s="119"/>
      <c r="E642" s="119"/>
      <c r="F642" s="119"/>
      <c r="G642" s="119"/>
      <c r="H642" s="119"/>
      <c r="I642" s="143"/>
      <c r="J642" s="143"/>
      <c r="K642" s="119"/>
      <c r="L642" s="119"/>
      <c r="M642" s="119"/>
      <c r="N642" s="119"/>
      <c r="O642" s="119"/>
      <c r="P642" s="119"/>
    </row>
    <row r="643" spans="3:16" x14ac:dyDescent="0.2">
      <c r="C643" s="119"/>
      <c r="D643" s="119"/>
      <c r="E643" s="119"/>
      <c r="F643" s="119"/>
      <c r="G643" s="119"/>
      <c r="H643" s="119"/>
      <c r="I643" s="143"/>
      <c r="J643" s="143"/>
      <c r="K643" s="119"/>
      <c r="L643" s="119"/>
      <c r="M643" s="119"/>
      <c r="N643" s="119"/>
      <c r="O643" s="119"/>
      <c r="P643" s="119"/>
    </row>
    <row r="644" spans="3:16" x14ac:dyDescent="0.2">
      <c r="C644" s="119"/>
      <c r="D644" s="119"/>
      <c r="E644" s="119"/>
      <c r="F644" s="119"/>
      <c r="G644" s="119"/>
      <c r="H644" s="119"/>
      <c r="I644" s="143"/>
      <c r="J644" s="143"/>
      <c r="K644" s="119"/>
      <c r="L644" s="119"/>
      <c r="M644" s="119"/>
      <c r="N644" s="119"/>
      <c r="O644" s="119"/>
      <c r="P644" s="119"/>
    </row>
    <row r="645" spans="3:16" x14ac:dyDescent="0.2">
      <c r="C645" s="119"/>
      <c r="D645" s="119"/>
      <c r="E645" s="119"/>
      <c r="F645" s="119"/>
      <c r="G645" s="119"/>
      <c r="H645" s="119"/>
      <c r="I645" s="143"/>
      <c r="J645" s="143"/>
      <c r="K645" s="119"/>
      <c r="L645" s="119"/>
      <c r="M645" s="119"/>
      <c r="N645" s="119"/>
      <c r="O645" s="119"/>
      <c r="P645" s="119"/>
    </row>
    <row r="646" spans="3:16" x14ac:dyDescent="0.2">
      <c r="C646" s="119"/>
      <c r="D646" s="119"/>
      <c r="E646" s="119"/>
      <c r="F646" s="119"/>
      <c r="G646" s="119"/>
      <c r="H646" s="119"/>
      <c r="I646" s="143"/>
      <c r="J646" s="143"/>
      <c r="K646" s="119"/>
      <c r="L646" s="119"/>
      <c r="M646" s="119"/>
      <c r="N646" s="119"/>
      <c r="O646" s="119"/>
      <c r="P646" s="119"/>
    </row>
    <row r="647" spans="3:16" x14ac:dyDescent="0.2">
      <c r="C647" s="119"/>
      <c r="D647" s="119"/>
      <c r="E647" s="119"/>
      <c r="F647" s="119"/>
      <c r="G647" s="119"/>
      <c r="H647" s="119"/>
      <c r="I647" s="143"/>
      <c r="J647" s="143"/>
      <c r="K647" s="119"/>
      <c r="L647" s="119"/>
      <c r="M647" s="119"/>
      <c r="N647" s="119"/>
      <c r="O647" s="119"/>
      <c r="P647" s="119"/>
    </row>
    <row r="648" spans="3:16" x14ac:dyDescent="0.2">
      <c r="C648" s="119"/>
      <c r="D648" s="119"/>
      <c r="E648" s="119"/>
      <c r="F648" s="119"/>
      <c r="G648" s="119"/>
      <c r="H648" s="119"/>
      <c r="I648" s="143"/>
      <c r="J648" s="143"/>
      <c r="K648" s="119"/>
      <c r="L648" s="119"/>
      <c r="M648" s="119"/>
      <c r="N648" s="119"/>
      <c r="O648" s="119"/>
      <c r="P648" s="119"/>
    </row>
    <row r="649" spans="3:16" x14ac:dyDescent="0.2">
      <c r="C649" s="119"/>
      <c r="D649" s="119"/>
      <c r="E649" s="119"/>
      <c r="F649" s="119"/>
      <c r="G649" s="119"/>
      <c r="H649" s="119"/>
      <c r="I649" s="143"/>
      <c r="J649" s="143"/>
      <c r="K649" s="119"/>
      <c r="L649" s="119"/>
      <c r="M649" s="119"/>
      <c r="N649" s="119"/>
      <c r="O649" s="119"/>
      <c r="P649" s="119"/>
    </row>
    <row r="650" spans="3:16" x14ac:dyDescent="0.2">
      <c r="C650" s="119"/>
      <c r="D650" s="119"/>
      <c r="E650" s="119"/>
      <c r="F650" s="119"/>
      <c r="G650" s="119"/>
      <c r="H650" s="119"/>
      <c r="I650" s="143"/>
      <c r="J650" s="143"/>
      <c r="K650" s="119"/>
      <c r="L650" s="119"/>
      <c r="M650" s="119"/>
      <c r="N650" s="119"/>
      <c r="O650" s="119"/>
      <c r="P650" s="119"/>
    </row>
    <row r="651" spans="3:16" x14ac:dyDescent="0.2">
      <c r="C651" s="119"/>
      <c r="D651" s="119"/>
      <c r="E651" s="119"/>
      <c r="F651" s="119"/>
      <c r="G651" s="119"/>
      <c r="H651" s="119"/>
      <c r="I651" s="143"/>
      <c r="J651" s="143"/>
      <c r="K651" s="119"/>
      <c r="L651" s="119"/>
      <c r="M651" s="119"/>
      <c r="N651" s="119"/>
      <c r="O651" s="119"/>
      <c r="P651" s="119"/>
    </row>
    <row r="652" spans="3:16" x14ac:dyDescent="0.2">
      <c r="C652" s="119"/>
      <c r="D652" s="119"/>
      <c r="E652" s="119"/>
      <c r="F652" s="119"/>
      <c r="G652" s="119"/>
      <c r="H652" s="119"/>
      <c r="I652" s="143"/>
      <c r="J652" s="143"/>
      <c r="K652" s="119"/>
      <c r="L652" s="119"/>
      <c r="M652" s="119"/>
      <c r="N652" s="119"/>
      <c r="O652" s="119"/>
      <c r="P652" s="119"/>
    </row>
    <row r="653" spans="3:16" x14ac:dyDescent="0.2">
      <c r="C653" s="119"/>
      <c r="D653" s="119"/>
      <c r="E653" s="119"/>
      <c r="F653" s="119"/>
      <c r="G653" s="119"/>
      <c r="H653" s="119"/>
      <c r="I653" s="143"/>
      <c r="J653" s="143"/>
      <c r="K653" s="119"/>
      <c r="L653" s="119"/>
      <c r="M653" s="119"/>
      <c r="N653" s="119"/>
      <c r="O653" s="119"/>
      <c r="P653" s="119"/>
    </row>
    <row r="654" spans="3:16" x14ac:dyDescent="0.2">
      <c r="C654" s="119"/>
      <c r="D654" s="119"/>
      <c r="E654" s="119"/>
      <c r="F654" s="119"/>
      <c r="G654" s="119"/>
      <c r="H654" s="119"/>
      <c r="I654" s="143"/>
      <c r="J654" s="143"/>
      <c r="K654" s="119"/>
      <c r="L654" s="119"/>
      <c r="M654" s="119"/>
      <c r="N654" s="119"/>
      <c r="O654" s="119"/>
      <c r="P654" s="119"/>
    </row>
    <row r="655" spans="3:16" x14ac:dyDescent="0.2">
      <c r="C655" s="119"/>
      <c r="D655" s="119"/>
      <c r="E655" s="119"/>
      <c r="F655" s="119"/>
      <c r="G655" s="119"/>
      <c r="H655" s="119"/>
      <c r="I655" s="143"/>
      <c r="J655" s="143"/>
      <c r="K655" s="119"/>
      <c r="L655" s="119"/>
      <c r="M655" s="119"/>
      <c r="N655" s="119"/>
      <c r="O655" s="119"/>
      <c r="P655" s="119"/>
    </row>
    <row r="656" spans="3:16" x14ac:dyDescent="0.2">
      <c r="C656" s="119"/>
      <c r="D656" s="119"/>
      <c r="E656" s="119"/>
      <c r="F656" s="119"/>
      <c r="G656" s="119"/>
      <c r="H656" s="119"/>
      <c r="I656" s="143"/>
      <c r="J656" s="143"/>
      <c r="K656" s="119"/>
      <c r="L656" s="119"/>
      <c r="M656" s="119"/>
      <c r="N656" s="119"/>
      <c r="O656" s="119"/>
      <c r="P656" s="119"/>
    </row>
    <row r="657" spans="3:16" x14ac:dyDescent="0.2">
      <c r="C657" s="119"/>
      <c r="D657" s="119"/>
      <c r="E657" s="119"/>
      <c r="F657" s="119"/>
      <c r="G657" s="119"/>
      <c r="H657" s="119"/>
      <c r="I657" s="143"/>
      <c r="J657" s="143"/>
      <c r="K657" s="119"/>
      <c r="L657" s="119"/>
      <c r="M657" s="119"/>
      <c r="N657" s="119"/>
      <c r="O657" s="119"/>
      <c r="P657" s="119"/>
    </row>
    <row r="658" spans="3:16" x14ac:dyDescent="0.2">
      <c r="C658" s="119"/>
      <c r="D658" s="119"/>
      <c r="E658" s="119"/>
      <c r="F658" s="119"/>
      <c r="G658" s="119"/>
      <c r="H658" s="119"/>
      <c r="I658" s="143"/>
      <c r="J658" s="143"/>
      <c r="K658" s="119"/>
      <c r="L658" s="119"/>
      <c r="M658" s="119"/>
      <c r="N658" s="119"/>
      <c r="O658" s="119"/>
      <c r="P658" s="119"/>
    </row>
    <row r="659" spans="3:16" x14ac:dyDescent="0.2">
      <c r="C659" s="119"/>
      <c r="D659" s="119"/>
      <c r="E659" s="119"/>
      <c r="F659" s="119"/>
      <c r="G659" s="119"/>
      <c r="H659" s="119"/>
      <c r="I659" s="143"/>
      <c r="J659" s="143"/>
      <c r="K659" s="119"/>
      <c r="L659" s="119"/>
      <c r="M659" s="119"/>
      <c r="N659" s="119"/>
      <c r="O659" s="119"/>
      <c r="P659" s="119"/>
    </row>
    <row r="660" spans="3:16" x14ac:dyDescent="0.2">
      <c r="C660" s="119"/>
      <c r="D660" s="119"/>
      <c r="E660" s="119"/>
      <c r="F660" s="119"/>
      <c r="G660" s="119"/>
      <c r="H660" s="119"/>
      <c r="I660" s="143"/>
      <c r="J660" s="143"/>
      <c r="K660" s="119"/>
      <c r="L660" s="119"/>
      <c r="M660" s="119"/>
      <c r="N660" s="119"/>
      <c r="O660" s="119"/>
      <c r="P660" s="119"/>
    </row>
    <row r="661" spans="3:16" x14ac:dyDescent="0.2">
      <c r="C661" s="119"/>
      <c r="D661" s="119"/>
      <c r="E661" s="119"/>
      <c r="F661" s="119"/>
      <c r="G661" s="119"/>
      <c r="H661" s="119"/>
      <c r="I661" s="143"/>
      <c r="J661" s="143"/>
      <c r="K661" s="119"/>
      <c r="L661" s="119"/>
      <c r="M661" s="119"/>
      <c r="N661" s="119"/>
      <c r="O661" s="119"/>
      <c r="P661" s="119"/>
    </row>
    <row r="662" spans="3:16" x14ac:dyDescent="0.2">
      <c r="C662" s="119"/>
      <c r="D662" s="119"/>
      <c r="E662" s="119"/>
      <c r="F662" s="119"/>
      <c r="G662" s="119"/>
      <c r="H662" s="119"/>
      <c r="I662" s="143"/>
      <c r="J662" s="143"/>
      <c r="K662" s="119"/>
      <c r="L662" s="119"/>
      <c r="M662" s="119"/>
      <c r="N662" s="119"/>
      <c r="O662" s="119"/>
      <c r="P662" s="119"/>
    </row>
    <row r="663" spans="3:16" x14ac:dyDescent="0.2">
      <c r="C663" s="119"/>
      <c r="D663" s="119"/>
      <c r="E663" s="119"/>
      <c r="F663" s="119"/>
      <c r="G663" s="119"/>
      <c r="H663" s="119"/>
      <c r="I663" s="143"/>
      <c r="J663" s="143"/>
      <c r="K663" s="119"/>
      <c r="L663" s="119"/>
      <c r="M663" s="119"/>
      <c r="N663" s="119"/>
      <c r="O663" s="119"/>
      <c r="P663" s="119"/>
    </row>
    <row r="664" spans="3:16" x14ac:dyDescent="0.2">
      <c r="C664" s="119"/>
      <c r="D664" s="119"/>
      <c r="E664" s="119"/>
      <c r="F664" s="119"/>
      <c r="G664" s="119"/>
      <c r="H664" s="119"/>
      <c r="I664" s="143"/>
      <c r="J664" s="143"/>
      <c r="K664" s="119"/>
      <c r="L664" s="119"/>
      <c r="M664" s="119"/>
      <c r="N664" s="119"/>
      <c r="O664" s="119"/>
      <c r="P664" s="119"/>
    </row>
    <row r="665" spans="3:16" x14ac:dyDescent="0.2">
      <c r="C665" s="119"/>
      <c r="D665" s="119"/>
      <c r="E665" s="119"/>
      <c r="F665" s="119"/>
      <c r="G665" s="119"/>
      <c r="H665" s="119"/>
      <c r="I665" s="143"/>
      <c r="J665" s="143"/>
      <c r="K665" s="119"/>
      <c r="L665" s="119"/>
      <c r="M665" s="119"/>
      <c r="N665" s="119"/>
      <c r="O665" s="119"/>
      <c r="P665" s="119"/>
    </row>
    <row r="666" spans="3:16" x14ac:dyDescent="0.2">
      <c r="C666" s="119"/>
      <c r="D666" s="119"/>
      <c r="E666" s="119"/>
      <c r="F666" s="119"/>
      <c r="G666" s="119"/>
      <c r="H666" s="119"/>
      <c r="I666" s="143"/>
      <c r="J666" s="143"/>
      <c r="K666" s="119"/>
      <c r="L666" s="119"/>
      <c r="M666" s="119"/>
      <c r="N666" s="119"/>
      <c r="O666" s="119"/>
      <c r="P666" s="119"/>
    </row>
    <row r="667" spans="3:16" x14ac:dyDescent="0.2">
      <c r="C667" s="119"/>
      <c r="D667" s="119"/>
      <c r="E667" s="119"/>
      <c r="F667" s="119"/>
      <c r="G667" s="119"/>
      <c r="H667" s="119"/>
      <c r="I667" s="143"/>
      <c r="J667" s="143"/>
      <c r="K667" s="119"/>
      <c r="L667" s="119"/>
      <c r="M667" s="119"/>
      <c r="N667" s="119"/>
      <c r="O667" s="119"/>
      <c r="P667" s="119"/>
    </row>
    <row r="668" spans="3:16" x14ac:dyDescent="0.2">
      <c r="C668" s="119"/>
      <c r="D668" s="119"/>
      <c r="E668" s="119"/>
      <c r="F668" s="119"/>
      <c r="G668" s="119"/>
      <c r="H668" s="119"/>
      <c r="I668" s="143"/>
      <c r="J668" s="143"/>
      <c r="K668" s="119"/>
      <c r="L668" s="119"/>
      <c r="M668" s="119"/>
      <c r="N668" s="119"/>
      <c r="O668" s="119"/>
      <c r="P668" s="119"/>
    </row>
    <row r="669" spans="3:16" x14ac:dyDescent="0.2">
      <c r="C669" s="119"/>
      <c r="D669" s="119"/>
      <c r="E669" s="119"/>
      <c r="F669" s="119"/>
      <c r="G669" s="119"/>
      <c r="H669" s="119"/>
      <c r="I669" s="143"/>
      <c r="J669" s="143"/>
      <c r="K669" s="119"/>
      <c r="L669" s="119"/>
      <c r="M669" s="119"/>
      <c r="N669" s="119"/>
      <c r="O669" s="119"/>
      <c r="P669" s="119"/>
    </row>
    <row r="670" spans="3:16" x14ac:dyDescent="0.2">
      <c r="C670" s="119"/>
      <c r="D670" s="119"/>
      <c r="E670" s="119"/>
      <c r="F670" s="119"/>
      <c r="G670" s="119"/>
      <c r="H670" s="119"/>
      <c r="I670" s="143"/>
      <c r="J670" s="143"/>
      <c r="K670" s="119"/>
      <c r="L670" s="119"/>
      <c r="M670" s="119"/>
      <c r="N670" s="119"/>
      <c r="O670" s="119"/>
      <c r="P670" s="119"/>
    </row>
    <row r="671" spans="3:16" x14ac:dyDescent="0.2">
      <c r="C671" s="119"/>
      <c r="D671" s="119"/>
      <c r="E671" s="119"/>
      <c r="F671" s="119"/>
      <c r="G671" s="119"/>
      <c r="H671" s="119"/>
      <c r="I671" s="143"/>
      <c r="J671" s="143"/>
      <c r="K671" s="119"/>
      <c r="L671" s="119"/>
      <c r="M671" s="119"/>
      <c r="N671" s="119"/>
      <c r="O671" s="119"/>
      <c r="P671" s="119"/>
    </row>
    <row r="672" spans="3:16" x14ac:dyDescent="0.2">
      <c r="C672" s="119"/>
      <c r="D672" s="119"/>
      <c r="E672" s="119"/>
      <c r="F672" s="119"/>
      <c r="G672" s="119"/>
      <c r="H672" s="119"/>
      <c r="I672" s="143"/>
      <c r="J672" s="143"/>
      <c r="K672" s="119"/>
      <c r="L672" s="119"/>
      <c r="M672" s="119"/>
      <c r="N672" s="119"/>
      <c r="O672" s="119"/>
      <c r="P672" s="119"/>
    </row>
    <row r="673" spans="3:16" x14ac:dyDescent="0.2">
      <c r="C673" s="119"/>
      <c r="D673" s="119"/>
      <c r="E673" s="119"/>
      <c r="F673" s="119"/>
      <c r="G673" s="119"/>
      <c r="H673" s="119"/>
      <c r="I673" s="143"/>
      <c r="J673" s="143"/>
      <c r="K673" s="119"/>
      <c r="L673" s="119"/>
      <c r="M673" s="119"/>
      <c r="N673" s="119"/>
      <c r="O673" s="119"/>
      <c r="P673" s="119"/>
    </row>
    <row r="674" spans="3:16" x14ac:dyDescent="0.2">
      <c r="C674" s="119"/>
      <c r="D674" s="119"/>
      <c r="E674" s="119"/>
      <c r="F674" s="119"/>
      <c r="G674" s="119"/>
      <c r="H674" s="119"/>
      <c r="I674" s="143"/>
      <c r="J674" s="143"/>
      <c r="K674" s="119"/>
      <c r="L674" s="119"/>
      <c r="M674" s="119"/>
      <c r="N674" s="119"/>
      <c r="O674" s="119"/>
      <c r="P674" s="119"/>
    </row>
    <row r="675" spans="3:16" x14ac:dyDescent="0.2">
      <c r="C675" s="119"/>
      <c r="D675" s="119"/>
      <c r="E675" s="119"/>
      <c r="F675" s="119"/>
      <c r="G675" s="119"/>
      <c r="H675" s="119"/>
      <c r="I675" s="143"/>
      <c r="J675" s="143"/>
      <c r="K675" s="119"/>
      <c r="L675" s="119"/>
      <c r="M675" s="119"/>
      <c r="N675" s="119"/>
      <c r="O675" s="119"/>
      <c r="P675" s="119"/>
    </row>
    <row r="676" spans="3:16" x14ac:dyDescent="0.2">
      <c r="C676" s="119"/>
      <c r="D676" s="119"/>
      <c r="E676" s="119"/>
      <c r="F676" s="119"/>
      <c r="G676" s="119"/>
      <c r="H676" s="119"/>
      <c r="I676" s="143"/>
      <c r="J676" s="143"/>
      <c r="K676" s="119"/>
      <c r="L676" s="119"/>
      <c r="M676" s="119"/>
      <c r="N676" s="119"/>
      <c r="O676" s="119"/>
      <c r="P676" s="119"/>
    </row>
    <row r="677" spans="3:16" x14ac:dyDescent="0.2">
      <c r="C677" s="119"/>
      <c r="D677" s="119"/>
      <c r="E677" s="119"/>
      <c r="F677" s="119"/>
      <c r="G677" s="119"/>
      <c r="H677" s="119"/>
      <c r="I677" s="143"/>
      <c r="J677" s="143"/>
      <c r="K677" s="119"/>
      <c r="L677" s="119"/>
      <c r="M677" s="119"/>
      <c r="N677" s="119"/>
      <c r="O677" s="119"/>
      <c r="P677" s="119"/>
    </row>
    <row r="678" spans="3:16" x14ac:dyDescent="0.2">
      <c r="C678" s="119"/>
      <c r="D678" s="119"/>
      <c r="E678" s="119"/>
      <c r="F678" s="119"/>
      <c r="G678" s="119"/>
      <c r="H678" s="119"/>
      <c r="I678" s="143"/>
      <c r="J678" s="143"/>
      <c r="K678" s="119"/>
      <c r="L678" s="119"/>
      <c r="M678" s="119"/>
      <c r="N678" s="119"/>
      <c r="O678" s="119"/>
      <c r="P678" s="119"/>
    </row>
    <row r="679" spans="3:16" x14ac:dyDescent="0.2">
      <c r="C679" s="119"/>
      <c r="D679" s="119"/>
      <c r="E679" s="119"/>
      <c r="F679" s="119"/>
      <c r="G679" s="119"/>
      <c r="H679" s="119"/>
      <c r="I679" s="143"/>
      <c r="J679" s="143"/>
      <c r="K679" s="119"/>
      <c r="L679" s="119"/>
      <c r="M679" s="119"/>
      <c r="N679" s="119"/>
      <c r="O679" s="119"/>
      <c r="P679" s="119"/>
    </row>
    <row r="680" spans="3:16" x14ac:dyDescent="0.2">
      <c r="C680" s="119"/>
      <c r="D680" s="119"/>
      <c r="E680" s="119"/>
      <c r="F680" s="119"/>
      <c r="G680" s="119"/>
      <c r="H680" s="119"/>
      <c r="I680" s="143"/>
      <c r="J680" s="143"/>
      <c r="K680" s="119"/>
      <c r="L680" s="119"/>
      <c r="M680" s="119"/>
      <c r="N680" s="119"/>
      <c r="O680" s="119"/>
      <c r="P680" s="119"/>
    </row>
    <row r="681" spans="3:16" x14ac:dyDescent="0.2">
      <c r="C681" s="119"/>
      <c r="D681" s="119"/>
      <c r="E681" s="119"/>
      <c r="F681" s="119"/>
      <c r="G681" s="119"/>
      <c r="H681" s="119"/>
      <c r="I681" s="143"/>
      <c r="J681" s="143"/>
      <c r="K681" s="119"/>
      <c r="L681" s="119"/>
      <c r="M681" s="119"/>
      <c r="N681" s="119"/>
      <c r="O681" s="119"/>
      <c r="P681" s="119"/>
    </row>
    <row r="682" spans="3:16" x14ac:dyDescent="0.2">
      <c r="C682" s="119"/>
      <c r="D682" s="119"/>
      <c r="E682" s="119"/>
      <c r="F682" s="119"/>
      <c r="G682" s="119"/>
      <c r="H682" s="119"/>
      <c r="I682" s="143"/>
      <c r="J682" s="143"/>
      <c r="K682" s="119"/>
      <c r="L682" s="119"/>
      <c r="M682" s="119"/>
      <c r="N682" s="119"/>
      <c r="O682" s="119"/>
      <c r="P682" s="119"/>
    </row>
    <row r="683" spans="3:16" x14ac:dyDescent="0.2">
      <c r="C683" s="119"/>
      <c r="D683" s="119"/>
      <c r="E683" s="119"/>
      <c r="F683" s="119"/>
      <c r="G683" s="119"/>
      <c r="H683" s="119"/>
      <c r="I683" s="143"/>
      <c r="J683" s="143"/>
      <c r="K683" s="119"/>
      <c r="L683" s="119"/>
      <c r="M683" s="119"/>
      <c r="N683" s="119"/>
      <c r="O683" s="119"/>
      <c r="P683" s="119"/>
    </row>
    <row r="684" spans="3:16" x14ac:dyDescent="0.2">
      <c r="C684" s="119"/>
      <c r="D684" s="119"/>
      <c r="E684" s="119"/>
      <c r="F684" s="119"/>
      <c r="G684" s="119"/>
      <c r="H684" s="119"/>
      <c r="I684" s="143"/>
      <c r="J684" s="143"/>
      <c r="K684" s="119"/>
      <c r="L684" s="119"/>
      <c r="M684" s="119"/>
      <c r="N684" s="119"/>
      <c r="O684" s="119"/>
      <c r="P684" s="119"/>
    </row>
    <row r="685" spans="3:16" x14ac:dyDescent="0.2">
      <c r="C685" s="119"/>
      <c r="D685" s="119"/>
      <c r="E685" s="119"/>
      <c r="F685" s="119"/>
      <c r="G685" s="119"/>
      <c r="H685" s="119"/>
      <c r="I685" s="143"/>
      <c r="J685" s="143"/>
      <c r="K685" s="119"/>
      <c r="L685" s="119"/>
      <c r="M685" s="119"/>
      <c r="N685" s="119"/>
      <c r="O685" s="119"/>
      <c r="P685" s="119"/>
    </row>
    <row r="686" spans="3:16" x14ac:dyDescent="0.2">
      <c r="C686" s="119"/>
      <c r="D686" s="119"/>
      <c r="E686" s="119"/>
      <c r="F686" s="119"/>
      <c r="G686" s="119"/>
      <c r="H686" s="119"/>
      <c r="I686" s="143"/>
      <c r="J686" s="143"/>
      <c r="K686" s="119"/>
      <c r="L686" s="119"/>
      <c r="M686" s="119"/>
      <c r="N686" s="119"/>
      <c r="O686" s="119"/>
      <c r="P686" s="119"/>
    </row>
    <row r="687" spans="3:16" x14ac:dyDescent="0.2">
      <c r="C687" s="119"/>
      <c r="D687" s="119"/>
      <c r="E687" s="119"/>
      <c r="F687" s="119"/>
      <c r="G687" s="119"/>
      <c r="H687" s="119"/>
      <c r="I687" s="143"/>
      <c r="J687" s="143"/>
      <c r="K687" s="119"/>
      <c r="L687" s="119"/>
      <c r="M687" s="119"/>
      <c r="N687" s="119"/>
      <c r="O687" s="119"/>
      <c r="P687" s="119"/>
    </row>
    <row r="688" spans="3:16" x14ac:dyDescent="0.2">
      <c r="C688" s="119"/>
      <c r="D688" s="119"/>
      <c r="E688" s="119"/>
      <c r="F688" s="119"/>
      <c r="G688" s="119"/>
      <c r="H688" s="119"/>
      <c r="I688" s="143"/>
      <c r="J688" s="143"/>
      <c r="K688" s="119"/>
      <c r="L688" s="119"/>
      <c r="M688" s="119"/>
      <c r="N688" s="119"/>
      <c r="O688" s="119"/>
      <c r="P688" s="119"/>
    </row>
    <row r="689" spans="3:16" x14ac:dyDescent="0.2">
      <c r="C689" s="119"/>
      <c r="D689" s="119"/>
      <c r="E689" s="119"/>
      <c r="F689" s="119"/>
      <c r="G689" s="119"/>
      <c r="H689" s="119"/>
      <c r="I689" s="143"/>
      <c r="J689" s="143"/>
      <c r="K689" s="119"/>
      <c r="L689" s="119"/>
      <c r="M689" s="119"/>
      <c r="N689" s="119"/>
      <c r="O689" s="119"/>
      <c r="P689" s="119"/>
    </row>
    <row r="690" spans="3:16" x14ac:dyDescent="0.2">
      <c r="C690" s="119"/>
      <c r="D690" s="119"/>
      <c r="E690" s="119"/>
      <c r="F690" s="119"/>
      <c r="G690" s="119"/>
      <c r="H690" s="119"/>
      <c r="I690" s="143"/>
      <c r="J690" s="143"/>
      <c r="K690" s="119"/>
      <c r="L690" s="119"/>
      <c r="M690" s="119"/>
      <c r="N690" s="119"/>
      <c r="O690" s="119"/>
      <c r="P690" s="119"/>
    </row>
    <row r="691" spans="3:16" x14ac:dyDescent="0.2">
      <c r="C691" s="119"/>
      <c r="D691" s="119"/>
      <c r="E691" s="119"/>
      <c r="F691" s="119"/>
      <c r="G691" s="119"/>
      <c r="H691" s="119"/>
      <c r="I691" s="143"/>
      <c r="J691" s="143"/>
      <c r="K691" s="119"/>
      <c r="L691" s="119"/>
      <c r="M691" s="119"/>
      <c r="N691" s="119"/>
      <c r="O691" s="119"/>
      <c r="P691" s="119"/>
    </row>
    <row r="692" spans="3:16" x14ac:dyDescent="0.2">
      <c r="C692" s="119"/>
      <c r="D692" s="119"/>
      <c r="E692" s="119"/>
      <c r="F692" s="119"/>
      <c r="G692" s="119"/>
      <c r="H692" s="119"/>
      <c r="I692" s="143"/>
      <c r="J692" s="143"/>
      <c r="K692" s="119"/>
      <c r="L692" s="119"/>
      <c r="M692" s="119"/>
      <c r="N692" s="119"/>
      <c r="O692" s="119"/>
      <c r="P692" s="119"/>
    </row>
    <row r="693" spans="3:16" x14ac:dyDescent="0.2">
      <c r="C693" s="119"/>
      <c r="D693" s="119"/>
      <c r="E693" s="119"/>
      <c r="F693" s="119"/>
      <c r="G693" s="119"/>
      <c r="H693" s="119"/>
      <c r="I693" s="143"/>
      <c r="J693" s="143"/>
      <c r="K693" s="119"/>
      <c r="L693" s="119"/>
      <c r="M693" s="119"/>
      <c r="N693" s="119"/>
      <c r="O693" s="119"/>
      <c r="P693" s="119"/>
    </row>
    <row r="694" spans="3:16" x14ac:dyDescent="0.2">
      <c r="C694" s="119"/>
      <c r="D694" s="119"/>
      <c r="E694" s="119"/>
      <c r="F694" s="119"/>
      <c r="G694" s="119"/>
      <c r="H694" s="119"/>
      <c r="I694" s="143"/>
      <c r="J694" s="143"/>
      <c r="K694" s="119"/>
      <c r="L694" s="119"/>
      <c r="M694" s="119"/>
      <c r="N694" s="119"/>
      <c r="O694" s="119"/>
      <c r="P694" s="119"/>
    </row>
    <row r="695" spans="3:16" x14ac:dyDescent="0.2">
      <c r="C695" s="119"/>
      <c r="D695" s="119"/>
      <c r="E695" s="119"/>
      <c r="F695" s="119"/>
      <c r="G695" s="119"/>
      <c r="H695" s="119"/>
      <c r="I695" s="143"/>
      <c r="J695" s="143"/>
      <c r="K695" s="119"/>
      <c r="L695" s="119"/>
      <c r="M695" s="119"/>
      <c r="N695" s="119"/>
      <c r="O695" s="119"/>
      <c r="P695" s="119"/>
    </row>
    <row r="696" spans="3:16" x14ac:dyDescent="0.2">
      <c r="C696" s="119"/>
      <c r="D696" s="119"/>
      <c r="E696" s="119"/>
      <c r="F696" s="119"/>
      <c r="G696" s="119"/>
      <c r="H696" s="119"/>
      <c r="I696" s="143"/>
      <c r="J696" s="143"/>
      <c r="K696" s="119"/>
      <c r="L696" s="119"/>
      <c r="M696" s="119"/>
      <c r="N696" s="119"/>
      <c r="O696" s="119"/>
      <c r="P696" s="119"/>
    </row>
    <row r="697" spans="3:16" x14ac:dyDescent="0.2">
      <c r="C697" s="119"/>
      <c r="D697" s="119"/>
      <c r="E697" s="119"/>
      <c r="F697" s="119"/>
      <c r="G697" s="119"/>
      <c r="H697" s="119"/>
      <c r="I697" s="143"/>
      <c r="J697" s="143"/>
      <c r="K697" s="119"/>
      <c r="L697" s="119"/>
      <c r="M697" s="119"/>
      <c r="N697" s="119"/>
      <c r="O697" s="119"/>
      <c r="P697" s="119"/>
    </row>
    <row r="698" spans="3:16" x14ac:dyDescent="0.2">
      <c r="C698" s="119"/>
      <c r="D698" s="119"/>
      <c r="E698" s="119"/>
      <c r="F698" s="119"/>
      <c r="G698" s="119"/>
      <c r="H698" s="119"/>
      <c r="I698" s="143"/>
      <c r="J698" s="143"/>
      <c r="K698" s="119"/>
      <c r="L698" s="119"/>
      <c r="M698" s="119"/>
      <c r="N698" s="119"/>
      <c r="O698" s="119"/>
      <c r="P698" s="119"/>
    </row>
    <row r="699" spans="3:16" x14ac:dyDescent="0.2">
      <c r="C699" s="119"/>
      <c r="D699" s="119"/>
      <c r="E699" s="119"/>
      <c r="F699" s="119"/>
      <c r="G699" s="119"/>
      <c r="H699" s="119"/>
      <c r="I699" s="143"/>
      <c r="J699" s="143"/>
      <c r="K699" s="119"/>
      <c r="L699" s="119"/>
      <c r="M699" s="119"/>
      <c r="N699" s="119"/>
      <c r="O699" s="119"/>
      <c r="P699" s="119"/>
    </row>
    <row r="700" spans="3:16" x14ac:dyDescent="0.2">
      <c r="C700" s="119"/>
      <c r="D700" s="119"/>
      <c r="E700" s="119"/>
      <c r="F700" s="119"/>
      <c r="G700" s="119"/>
      <c r="H700" s="119"/>
      <c r="I700" s="143"/>
      <c r="J700" s="143"/>
      <c r="K700" s="119"/>
      <c r="L700" s="119"/>
      <c r="M700" s="119"/>
      <c r="N700" s="119"/>
      <c r="O700" s="119"/>
      <c r="P700" s="119"/>
    </row>
    <row r="701" spans="3:16" x14ac:dyDescent="0.2">
      <c r="C701" s="119"/>
      <c r="D701" s="119"/>
      <c r="E701" s="119"/>
      <c r="F701" s="119"/>
      <c r="G701" s="119"/>
      <c r="H701" s="119"/>
      <c r="I701" s="143"/>
      <c r="J701" s="143"/>
      <c r="K701" s="119"/>
      <c r="L701" s="119"/>
      <c r="M701" s="119"/>
      <c r="N701" s="119"/>
      <c r="O701" s="119"/>
      <c r="P701" s="119"/>
    </row>
    <row r="702" spans="3:16" x14ac:dyDescent="0.2">
      <c r="C702" s="119"/>
      <c r="D702" s="119"/>
      <c r="E702" s="119"/>
      <c r="F702" s="119"/>
      <c r="G702" s="119"/>
      <c r="H702" s="119"/>
      <c r="I702" s="143"/>
      <c r="J702" s="143"/>
      <c r="K702" s="119"/>
      <c r="L702" s="119"/>
      <c r="M702" s="119"/>
      <c r="N702" s="119"/>
      <c r="O702" s="119"/>
      <c r="P702" s="119"/>
    </row>
    <row r="703" spans="3:16" x14ac:dyDescent="0.2">
      <c r="C703" s="119"/>
      <c r="D703" s="119"/>
      <c r="E703" s="119"/>
      <c r="F703" s="119"/>
      <c r="G703" s="119"/>
      <c r="H703" s="119"/>
      <c r="I703" s="143"/>
      <c r="J703" s="143"/>
      <c r="K703" s="119"/>
      <c r="L703" s="119"/>
      <c r="M703" s="119"/>
      <c r="N703" s="119"/>
      <c r="O703" s="119"/>
      <c r="P703" s="119"/>
    </row>
    <row r="704" spans="3:16" x14ac:dyDescent="0.2">
      <c r="C704" s="119"/>
      <c r="D704" s="119"/>
      <c r="E704" s="119"/>
      <c r="F704" s="119"/>
      <c r="G704" s="119"/>
      <c r="H704" s="119"/>
      <c r="I704" s="143"/>
      <c r="J704" s="143"/>
      <c r="K704" s="119"/>
      <c r="L704" s="119"/>
      <c r="M704" s="119"/>
      <c r="N704" s="119"/>
      <c r="O704" s="119"/>
      <c r="P704" s="119"/>
    </row>
    <row r="705" spans="3:16" x14ac:dyDescent="0.2">
      <c r="C705" s="119"/>
      <c r="D705" s="119"/>
      <c r="E705" s="119"/>
      <c r="F705" s="119"/>
      <c r="G705" s="119"/>
      <c r="H705" s="119"/>
      <c r="I705" s="143"/>
      <c r="J705" s="143"/>
      <c r="K705" s="119"/>
      <c r="L705" s="119"/>
      <c r="M705" s="119"/>
      <c r="N705" s="119"/>
      <c r="O705" s="119"/>
      <c r="P705" s="119"/>
    </row>
    <row r="706" spans="3:16" x14ac:dyDescent="0.2">
      <c r="C706" s="119"/>
      <c r="D706" s="119"/>
      <c r="E706" s="119"/>
      <c r="F706" s="119"/>
      <c r="G706" s="119"/>
      <c r="H706" s="119"/>
      <c r="I706" s="143"/>
      <c r="J706" s="143"/>
      <c r="K706" s="119"/>
      <c r="L706" s="119"/>
      <c r="M706" s="119"/>
      <c r="N706" s="119"/>
      <c r="O706" s="119"/>
      <c r="P706" s="119"/>
    </row>
    <row r="707" spans="3:16" x14ac:dyDescent="0.2">
      <c r="C707" s="119"/>
      <c r="D707" s="119"/>
      <c r="E707" s="119"/>
      <c r="F707" s="119"/>
      <c r="G707" s="119"/>
      <c r="H707" s="119"/>
      <c r="I707" s="143"/>
      <c r="J707" s="143"/>
      <c r="K707" s="119"/>
      <c r="L707" s="119"/>
      <c r="M707" s="119"/>
      <c r="N707" s="119"/>
      <c r="O707" s="119"/>
      <c r="P707" s="119"/>
    </row>
    <row r="708" spans="3:16" x14ac:dyDescent="0.2">
      <c r="C708" s="119"/>
      <c r="D708" s="119"/>
      <c r="E708" s="119"/>
      <c r="F708" s="119"/>
      <c r="G708" s="119"/>
      <c r="H708" s="119"/>
      <c r="I708" s="143"/>
      <c r="J708" s="143"/>
      <c r="K708" s="119"/>
      <c r="L708" s="119"/>
      <c r="M708" s="119"/>
      <c r="N708" s="119"/>
      <c r="O708" s="119"/>
      <c r="P708" s="119"/>
    </row>
    <row r="709" spans="3:16" x14ac:dyDescent="0.2">
      <c r="C709" s="119"/>
      <c r="D709" s="119"/>
      <c r="E709" s="119"/>
      <c r="F709" s="119"/>
      <c r="G709" s="119"/>
      <c r="H709" s="119"/>
      <c r="I709" s="143"/>
      <c r="J709" s="143"/>
      <c r="K709" s="119"/>
      <c r="L709" s="119"/>
      <c r="M709" s="119"/>
      <c r="N709" s="119"/>
      <c r="O709" s="119"/>
      <c r="P709" s="119"/>
    </row>
    <row r="710" spans="3:16" x14ac:dyDescent="0.2">
      <c r="C710" s="119"/>
      <c r="D710" s="119"/>
      <c r="E710" s="119"/>
      <c r="F710" s="119"/>
      <c r="G710" s="119"/>
      <c r="H710" s="119"/>
      <c r="I710" s="143"/>
      <c r="J710" s="143"/>
      <c r="K710" s="119"/>
      <c r="L710" s="119"/>
      <c r="M710" s="119"/>
      <c r="N710" s="119"/>
      <c r="O710" s="119"/>
      <c r="P710" s="119"/>
    </row>
    <row r="711" spans="3:16" x14ac:dyDescent="0.2">
      <c r="C711" s="119"/>
      <c r="D711" s="119"/>
      <c r="E711" s="119"/>
      <c r="F711" s="119"/>
      <c r="G711" s="119"/>
      <c r="H711" s="119"/>
      <c r="I711" s="143"/>
      <c r="J711" s="143"/>
      <c r="K711" s="119"/>
      <c r="L711" s="119"/>
      <c r="M711" s="119"/>
      <c r="N711" s="119"/>
      <c r="O711" s="119"/>
      <c r="P711" s="119"/>
    </row>
    <row r="712" spans="3:16" x14ac:dyDescent="0.2">
      <c r="C712" s="119"/>
      <c r="D712" s="119"/>
      <c r="E712" s="119"/>
      <c r="F712" s="119"/>
      <c r="G712" s="119"/>
      <c r="H712" s="119"/>
      <c r="I712" s="143"/>
      <c r="J712" s="143"/>
      <c r="K712" s="119"/>
      <c r="L712" s="119"/>
      <c r="M712" s="119"/>
      <c r="N712" s="119"/>
      <c r="O712" s="119"/>
      <c r="P712" s="119"/>
    </row>
    <row r="713" spans="3:16" x14ac:dyDescent="0.2">
      <c r="C713" s="119"/>
      <c r="D713" s="119"/>
      <c r="E713" s="119"/>
      <c r="F713" s="119"/>
      <c r="G713" s="119"/>
      <c r="H713" s="119"/>
      <c r="I713" s="143"/>
      <c r="J713" s="143"/>
      <c r="K713" s="119"/>
      <c r="L713" s="119"/>
      <c r="M713" s="119"/>
      <c r="N713" s="119"/>
      <c r="O713" s="119"/>
      <c r="P713" s="119"/>
    </row>
    <row r="714" spans="3:16" x14ac:dyDescent="0.2">
      <c r="C714" s="119"/>
      <c r="D714" s="119"/>
      <c r="E714" s="119"/>
      <c r="F714" s="119"/>
      <c r="G714" s="119"/>
      <c r="H714" s="119"/>
      <c r="I714" s="143"/>
      <c r="J714" s="143"/>
      <c r="K714" s="119"/>
      <c r="L714" s="119"/>
      <c r="M714" s="119"/>
      <c r="N714" s="119"/>
      <c r="O714" s="119"/>
      <c r="P714" s="119"/>
    </row>
    <row r="715" spans="3:16" x14ac:dyDescent="0.2">
      <c r="C715" s="119"/>
      <c r="D715" s="119"/>
      <c r="E715" s="119"/>
      <c r="F715" s="119"/>
      <c r="G715" s="119"/>
      <c r="H715" s="119"/>
      <c r="I715" s="143"/>
      <c r="J715" s="143"/>
      <c r="K715" s="119"/>
      <c r="L715" s="119"/>
      <c r="M715" s="119"/>
      <c r="N715" s="119"/>
      <c r="O715" s="119"/>
      <c r="P715" s="119"/>
    </row>
    <row r="716" spans="3:16" x14ac:dyDescent="0.2">
      <c r="C716" s="119"/>
      <c r="D716" s="119"/>
      <c r="E716" s="119"/>
      <c r="F716" s="119"/>
      <c r="G716" s="119"/>
      <c r="H716" s="119"/>
      <c r="I716" s="143"/>
      <c r="J716" s="143"/>
      <c r="K716" s="119"/>
      <c r="L716" s="119"/>
      <c r="M716" s="119"/>
      <c r="N716" s="119"/>
      <c r="O716" s="119"/>
      <c r="P716" s="119"/>
    </row>
    <row r="717" spans="3:16" x14ac:dyDescent="0.2">
      <c r="C717" s="119"/>
      <c r="D717" s="119"/>
      <c r="E717" s="119"/>
      <c r="F717" s="119"/>
      <c r="G717" s="119"/>
      <c r="H717" s="119"/>
      <c r="I717" s="143"/>
      <c r="J717" s="143"/>
      <c r="K717" s="119"/>
      <c r="L717" s="119"/>
      <c r="M717" s="119"/>
      <c r="N717" s="119"/>
      <c r="O717" s="119"/>
      <c r="P717" s="119"/>
    </row>
    <row r="718" spans="3:16" x14ac:dyDescent="0.2">
      <c r="C718" s="119"/>
      <c r="D718" s="119"/>
      <c r="E718" s="119"/>
      <c r="F718" s="119"/>
      <c r="G718" s="119"/>
      <c r="H718" s="119"/>
      <c r="I718" s="143"/>
      <c r="J718" s="143"/>
      <c r="K718" s="119"/>
      <c r="L718" s="119"/>
      <c r="M718" s="119"/>
      <c r="N718" s="119"/>
      <c r="O718" s="119"/>
      <c r="P718" s="119"/>
    </row>
    <row r="719" spans="3:16" x14ac:dyDescent="0.2">
      <c r="C719" s="119"/>
      <c r="D719" s="119"/>
      <c r="E719" s="119"/>
      <c r="F719" s="119"/>
      <c r="G719" s="119"/>
      <c r="H719" s="119"/>
      <c r="I719" s="143"/>
      <c r="J719" s="143"/>
      <c r="K719" s="119"/>
      <c r="L719" s="119"/>
      <c r="M719" s="119"/>
      <c r="N719" s="119"/>
      <c r="O719" s="119"/>
      <c r="P719" s="119"/>
    </row>
    <row r="720" spans="3:16" x14ac:dyDescent="0.2">
      <c r="C720" s="119"/>
      <c r="D720" s="119"/>
      <c r="E720" s="119"/>
      <c r="F720" s="119"/>
      <c r="G720" s="119"/>
      <c r="H720" s="119"/>
      <c r="I720" s="143"/>
      <c r="J720" s="143"/>
      <c r="K720" s="119"/>
      <c r="L720" s="119"/>
      <c r="M720" s="119"/>
      <c r="N720" s="119"/>
      <c r="O720" s="119"/>
      <c r="P720" s="119"/>
    </row>
    <row r="721" spans="3:16" x14ac:dyDescent="0.2">
      <c r="C721" s="119"/>
      <c r="D721" s="119"/>
      <c r="E721" s="119"/>
      <c r="F721" s="119"/>
      <c r="G721" s="119"/>
      <c r="H721" s="119"/>
      <c r="I721" s="143"/>
      <c r="J721" s="143"/>
      <c r="K721" s="119"/>
      <c r="L721" s="119"/>
      <c r="M721" s="119"/>
      <c r="N721" s="119"/>
      <c r="O721" s="119"/>
      <c r="P721" s="119"/>
    </row>
    <row r="722" spans="3:16" x14ac:dyDescent="0.2">
      <c r="C722" s="119"/>
      <c r="D722" s="119"/>
      <c r="E722" s="119"/>
      <c r="F722" s="119"/>
      <c r="G722" s="119"/>
      <c r="H722" s="119"/>
      <c r="I722" s="143"/>
      <c r="J722" s="143"/>
      <c r="K722" s="119"/>
      <c r="L722" s="119"/>
      <c r="M722" s="119"/>
      <c r="N722" s="119"/>
      <c r="O722" s="119"/>
      <c r="P722" s="119"/>
    </row>
    <row r="723" spans="3:16" x14ac:dyDescent="0.2">
      <c r="C723" s="119"/>
      <c r="D723" s="119"/>
      <c r="E723" s="119"/>
      <c r="F723" s="119"/>
      <c r="G723" s="119"/>
      <c r="H723" s="119"/>
      <c r="I723" s="143"/>
      <c r="J723" s="143"/>
      <c r="K723" s="119"/>
      <c r="L723" s="119"/>
      <c r="M723" s="119"/>
      <c r="N723" s="119"/>
      <c r="O723" s="119"/>
      <c r="P723" s="119"/>
    </row>
    <row r="724" spans="3:16" x14ac:dyDescent="0.2">
      <c r="C724" s="119"/>
      <c r="D724" s="119"/>
      <c r="E724" s="119"/>
      <c r="F724" s="119"/>
      <c r="G724" s="119"/>
      <c r="H724" s="119"/>
      <c r="I724" s="143"/>
      <c r="J724" s="143"/>
      <c r="K724" s="119"/>
      <c r="L724" s="119"/>
      <c r="M724" s="119"/>
      <c r="N724" s="119"/>
      <c r="O724" s="119"/>
      <c r="P724" s="119"/>
    </row>
    <row r="725" spans="3:16" x14ac:dyDescent="0.2">
      <c r="C725" s="119"/>
      <c r="D725" s="119"/>
      <c r="E725" s="119"/>
      <c r="F725" s="119"/>
      <c r="G725" s="119"/>
      <c r="H725" s="119"/>
      <c r="I725" s="143"/>
      <c r="J725" s="143"/>
      <c r="K725" s="119"/>
      <c r="L725" s="119"/>
      <c r="M725" s="119"/>
      <c r="N725" s="119"/>
      <c r="O725" s="119"/>
      <c r="P725" s="119"/>
    </row>
    <row r="726" spans="3:16" x14ac:dyDescent="0.2">
      <c r="C726" s="119"/>
      <c r="D726" s="119"/>
      <c r="E726" s="119"/>
      <c r="F726" s="119"/>
      <c r="G726" s="119"/>
      <c r="H726" s="119"/>
      <c r="I726" s="143"/>
      <c r="J726" s="143"/>
      <c r="K726" s="119"/>
      <c r="L726" s="119"/>
      <c r="M726" s="119"/>
      <c r="N726" s="119"/>
      <c r="O726" s="119"/>
      <c r="P726" s="119"/>
    </row>
    <row r="727" spans="3:16" x14ac:dyDescent="0.2">
      <c r="C727" s="119"/>
      <c r="D727" s="119"/>
      <c r="E727" s="119"/>
      <c r="F727" s="119"/>
      <c r="G727" s="119"/>
      <c r="H727" s="119"/>
      <c r="I727" s="143"/>
      <c r="J727" s="143"/>
      <c r="K727" s="119"/>
      <c r="L727" s="119"/>
      <c r="M727" s="119"/>
      <c r="N727" s="119"/>
      <c r="O727" s="119"/>
      <c r="P727" s="119"/>
    </row>
    <row r="728" spans="3:16" x14ac:dyDescent="0.2">
      <c r="C728" s="119"/>
      <c r="D728" s="119"/>
      <c r="E728" s="119"/>
      <c r="F728" s="119"/>
      <c r="G728" s="119"/>
      <c r="H728" s="119"/>
      <c r="I728" s="143"/>
      <c r="J728" s="143"/>
      <c r="K728" s="119"/>
      <c r="L728" s="119"/>
      <c r="M728" s="119"/>
      <c r="N728" s="119"/>
      <c r="O728" s="119"/>
      <c r="P728" s="119"/>
    </row>
    <row r="729" spans="3:16" x14ac:dyDescent="0.2">
      <c r="C729" s="119"/>
      <c r="D729" s="119"/>
      <c r="E729" s="119"/>
      <c r="F729" s="119"/>
      <c r="G729" s="119"/>
      <c r="H729" s="119"/>
      <c r="I729" s="143"/>
      <c r="J729" s="143"/>
      <c r="K729" s="119"/>
      <c r="L729" s="119"/>
      <c r="M729" s="119"/>
      <c r="N729" s="119"/>
      <c r="O729" s="119"/>
      <c r="P729" s="119"/>
    </row>
    <row r="730" spans="3:16" x14ac:dyDescent="0.2">
      <c r="C730" s="119"/>
      <c r="D730" s="119"/>
      <c r="E730" s="119"/>
      <c r="F730" s="119"/>
      <c r="G730" s="119"/>
      <c r="H730" s="119"/>
      <c r="I730" s="143"/>
      <c r="J730" s="143"/>
      <c r="K730" s="119"/>
      <c r="L730" s="119"/>
      <c r="M730" s="119"/>
      <c r="N730" s="119"/>
      <c r="O730" s="119"/>
      <c r="P730" s="119"/>
    </row>
    <row r="731" spans="3:16" x14ac:dyDescent="0.2">
      <c r="C731" s="119"/>
      <c r="D731" s="119"/>
      <c r="E731" s="119"/>
      <c r="F731" s="119"/>
      <c r="G731" s="119"/>
      <c r="H731" s="119"/>
      <c r="I731" s="143"/>
      <c r="J731" s="143"/>
      <c r="K731" s="119"/>
      <c r="L731" s="119"/>
      <c r="M731" s="119"/>
      <c r="N731" s="119"/>
      <c r="O731" s="119"/>
      <c r="P731" s="119"/>
    </row>
    <row r="732" spans="3:16" x14ac:dyDescent="0.2">
      <c r="C732" s="119"/>
      <c r="D732" s="119"/>
      <c r="E732" s="119"/>
      <c r="F732" s="119"/>
      <c r="G732" s="119"/>
      <c r="H732" s="119"/>
      <c r="I732" s="143"/>
      <c r="J732" s="143"/>
      <c r="K732" s="119"/>
      <c r="L732" s="119"/>
      <c r="M732" s="119"/>
      <c r="N732" s="119"/>
      <c r="O732" s="119"/>
      <c r="P732" s="119"/>
    </row>
    <row r="733" spans="3:16" x14ac:dyDescent="0.2">
      <c r="C733" s="119"/>
      <c r="D733" s="119"/>
      <c r="E733" s="119"/>
      <c r="F733" s="119"/>
      <c r="G733" s="119"/>
      <c r="H733" s="119"/>
      <c r="I733" s="143"/>
      <c r="J733" s="143"/>
      <c r="K733" s="119"/>
      <c r="L733" s="119"/>
      <c r="M733" s="119"/>
      <c r="N733" s="119"/>
      <c r="O733" s="119"/>
      <c r="P733" s="119"/>
    </row>
    <row r="734" spans="3:16" x14ac:dyDescent="0.2">
      <c r="C734" s="119"/>
      <c r="D734" s="119"/>
      <c r="E734" s="119"/>
      <c r="F734" s="119"/>
      <c r="G734" s="119"/>
      <c r="H734" s="119"/>
      <c r="I734" s="143"/>
      <c r="J734" s="143"/>
      <c r="K734" s="119"/>
      <c r="L734" s="119"/>
      <c r="M734" s="119"/>
      <c r="N734" s="119"/>
      <c r="O734" s="119"/>
      <c r="P734" s="119"/>
    </row>
    <row r="735" spans="3:16" x14ac:dyDescent="0.2">
      <c r="C735" s="119"/>
      <c r="D735" s="119"/>
      <c r="E735" s="119"/>
      <c r="F735" s="119"/>
      <c r="G735" s="119"/>
      <c r="H735" s="119"/>
      <c r="I735" s="143"/>
      <c r="J735" s="143"/>
      <c r="K735" s="119"/>
      <c r="L735" s="119"/>
      <c r="M735" s="119"/>
      <c r="N735" s="119"/>
      <c r="O735" s="119"/>
      <c r="P735" s="119"/>
    </row>
    <row r="736" spans="3:16" x14ac:dyDescent="0.2">
      <c r="C736" s="119"/>
      <c r="D736" s="119"/>
      <c r="E736" s="119"/>
      <c r="F736" s="119"/>
      <c r="G736" s="119"/>
      <c r="H736" s="119"/>
      <c r="I736" s="143"/>
      <c r="J736" s="143"/>
      <c r="K736" s="119"/>
      <c r="L736" s="119"/>
      <c r="M736" s="119"/>
      <c r="N736" s="119"/>
      <c r="O736" s="119"/>
      <c r="P736" s="119"/>
    </row>
    <row r="737" spans="3:16" x14ac:dyDescent="0.2">
      <c r="C737" s="119"/>
      <c r="D737" s="119"/>
      <c r="E737" s="119"/>
      <c r="F737" s="119"/>
      <c r="G737" s="119"/>
      <c r="H737" s="119"/>
      <c r="I737" s="143"/>
      <c r="J737" s="143"/>
      <c r="K737" s="119"/>
      <c r="L737" s="119"/>
      <c r="M737" s="119"/>
      <c r="N737" s="119"/>
      <c r="O737" s="119"/>
      <c r="P737" s="119"/>
    </row>
    <row r="738" spans="3:16" x14ac:dyDescent="0.2">
      <c r="C738" s="119"/>
      <c r="D738" s="119"/>
      <c r="E738" s="119"/>
      <c r="F738" s="119"/>
      <c r="G738" s="119"/>
      <c r="H738" s="119"/>
      <c r="I738" s="143"/>
      <c r="J738" s="143"/>
      <c r="K738" s="119"/>
      <c r="L738" s="119"/>
      <c r="M738" s="119"/>
      <c r="N738" s="119"/>
      <c r="O738" s="119"/>
      <c r="P738" s="119"/>
    </row>
    <row r="739" spans="3:16" x14ac:dyDescent="0.2">
      <c r="C739" s="119"/>
      <c r="D739" s="119"/>
      <c r="E739" s="119"/>
      <c r="F739" s="119"/>
      <c r="G739" s="119"/>
      <c r="H739" s="119"/>
      <c r="I739" s="143"/>
      <c r="J739" s="143"/>
      <c r="K739" s="119"/>
      <c r="L739" s="119"/>
      <c r="M739" s="119"/>
      <c r="N739" s="119"/>
      <c r="O739" s="119"/>
      <c r="P739" s="119"/>
    </row>
    <row r="740" spans="3:16" x14ac:dyDescent="0.2">
      <c r="C740" s="119"/>
      <c r="D740" s="119"/>
      <c r="E740" s="119"/>
      <c r="F740" s="119"/>
      <c r="G740" s="119"/>
      <c r="H740" s="119"/>
      <c r="I740" s="143"/>
      <c r="J740" s="143"/>
      <c r="K740" s="119"/>
      <c r="L740" s="119"/>
      <c r="M740" s="119"/>
      <c r="N740" s="119"/>
      <c r="O740" s="119"/>
      <c r="P740" s="119"/>
    </row>
    <row r="741" spans="3:16" x14ac:dyDescent="0.2">
      <c r="C741" s="119"/>
      <c r="D741" s="119"/>
      <c r="E741" s="119"/>
      <c r="F741" s="119"/>
      <c r="G741" s="119"/>
      <c r="H741" s="119"/>
      <c r="I741" s="143"/>
      <c r="J741" s="143"/>
      <c r="K741" s="119"/>
      <c r="L741" s="119"/>
      <c r="M741" s="119"/>
      <c r="N741" s="119"/>
      <c r="O741" s="119"/>
      <c r="P741" s="119"/>
    </row>
    <row r="742" spans="3:16" x14ac:dyDescent="0.2">
      <c r="C742" s="119"/>
      <c r="D742" s="119"/>
      <c r="E742" s="119"/>
      <c r="F742" s="119"/>
      <c r="G742" s="119"/>
      <c r="H742" s="119"/>
      <c r="I742" s="143"/>
      <c r="J742" s="143"/>
      <c r="K742" s="119"/>
      <c r="L742" s="119"/>
      <c r="M742" s="119"/>
      <c r="N742" s="119"/>
      <c r="O742" s="119"/>
      <c r="P742" s="119"/>
    </row>
    <row r="743" spans="3:16" x14ac:dyDescent="0.2">
      <c r="C743" s="119"/>
      <c r="D743" s="119"/>
      <c r="E743" s="119"/>
      <c r="F743" s="119"/>
      <c r="G743" s="119"/>
      <c r="H743" s="119"/>
      <c r="I743" s="143"/>
      <c r="J743" s="143"/>
      <c r="K743" s="119"/>
      <c r="L743" s="119"/>
      <c r="M743" s="119"/>
      <c r="N743" s="119"/>
      <c r="O743" s="119"/>
      <c r="P743" s="119"/>
    </row>
    <row r="744" spans="3:16" x14ac:dyDescent="0.2">
      <c r="C744" s="119"/>
      <c r="D744" s="119"/>
      <c r="E744" s="119"/>
      <c r="F744" s="119"/>
      <c r="G744" s="119"/>
      <c r="H744" s="119"/>
      <c r="I744" s="143"/>
      <c r="J744" s="143"/>
      <c r="K744" s="119"/>
      <c r="L744" s="119"/>
      <c r="M744" s="119"/>
      <c r="N744" s="119"/>
      <c r="O744" s="119"/>
      <c r="P744" s="119"/>
    </row>
    <row r="745" spans="3:16" x14ac:dyDescent="0.2">
      <c r="C745" s="119"/>
      <c r="D745" s="119"/>
      <c r="E745" s="119"/>
      <c r="F745" s="119"/>
      <c r="G745" s="119"/>
      <c r="H745" s="119"/>
      <c r="I745" s="143"/>
      <c r="J745" s="143"/>
      <c r="K745" s="119"/>
      <c r="L745" s="119"/>
      <c r="M745" s="119"/>
      <c r="N745" s="119"/>
      <c r="O745" s="119"/>
      <c r="P745" s="119"/>
    </row>
    <row r="746" spans="3:16" x14ac:dyDescent="0.2">
      <c r="C746" s="119"/>
      <c r="D746" s="119"/>
      <c r="E746" s="119"/>
      <c r="F746" s="119"/>
      <c r="G746" s="119"/>
      <c r="H746" s="119"/>
      <c r="I746" s="143"/>
      <c r="J746" s="143"/>
      <c r="K746" s="119"/>
      <c r="L746" s="119"/>
      <c r="M746" s="119"/>
      <c r="N746" s="119"/>
      <c r="O746" s="119"/>
      <c r="P746" s="119"/>
    </row>
    <row r="747" spans="3:16" x14ac:dyDescent="0.2">
      <c r="C747" s="119"/>
      <c r="D747" s="119"/>
      <c r="E747" s="119"/>
      <c r="F747" s="119"/>
      <c r="G747" s="119"/>
      <c r="H747" s="119"/>
      <c r="I747" s="143"/>
      <c r="J747" s="143"/>
      <c r="K747" s="119"/>
      <c r="L747" s="119"/>
      <c r="M747" s="119"/>
      <c r="N747" s="119"/>
      <c r="O747" s="119"/>
      <c r="P747" s="119"/>
    </row>
    <row r="748" spans="3:16" x14ac:dyDescent="0.2">
      <c r="C748" s="119"/>
      <c r="D748" s="119"/>
      <c r="E748" s="119"/>
      <c r="F748" s="119"/>
      <c r="G748" s="119"/>
      <c r="H748" s="119"/>
      <c r="I748" s="143"/>
      <c r="J748" s="143"/>
      <c r="K748" s="119"/>
      <c r="L748" s="119"/>
      <c r="M748" s="119"/>
      <c r="N748" s="119"/>
      <c r="O748" s="119"/>
      <c r="P748" s="119"/>
    </row>
    <row r="749" spans="3:16" x14ac:dyDescent="0.2">
      <c r="C749" s="119"/>
      <c r="D749" s="119"/>
      <c r="E749" s="119"/>
      <c r="F749" s="119"/>
      <c r="G749" s="119"/>
      <c r="H749" s="119"/>
      <c r="I749" s="143"/>
      <c r="J749" s="143"/>
      <c r="K749" s="119"/>
      <c r="L749" s="119"/>
      <c r="M749" s="119"/>
      <c r="N749" s="119"/>
      <c r="O749" s="119"/>
      <c r="P749" s="119"/>
    </row>
    <row r="750" spans="3:16" x14ac:dyDescent="0.2">
      <c r="C750" s="119"/>
      <c r="D750" s="119"/>
      <c r="E750" s="119"/>
      <c r="F750" s="119"/>
      <c r="G750" s="119"/>
      <c r="H750" s="119"/>
      <c r="I750" s="143"/>
      <c r="J750" s="143"/>
      <c r="K750" s="119"/>
      <c r="L750" s="119"/>
      <c r="M750" s="119"/>
      <c r="N750" s="119"/>
      <c r="O750" s="119"/>
      <c r="P750" s="119"/>
    </row>
    <row r="751" spans="3:16" x14ac:dyDescent="0.2">
      <c r="C751" s="119"/>
      <c r="D751" s="119"/>
      <c r="E751" s="119"/>
      <c r="F751" s="119"/>
      <c r="G751" s="119"/>
      <c r="H751" s="119"/>
      <c r="I751" s="143"/>
      <c r="J751" s="143"/>
      <c r="K751" s="119"/>
      <c r="L751" s="119"/>
      <c r="M751" s="119"/>
      <c r="N751" s="119"/>
      <c r="O751" s="119"/>
      <c r="P751" s="119"/>
    </row>
    <row r="752" spans="3:16" x14ac:dyDescent="0.2">
      <c r="C752" s="119"/>
      <c r="D752" s="119"/>
      <c r="E752" s="119"/>
      <c r="F752" s="119"/>
      <c r="G752" s="119"/>
      <c r="H752" s="119"/>
      <c r="I752" s="143"/>
      <c r="J752" s="143"/>
      <c r="K752" s="119"/>
      <c r="L752" s="119"/>
      <c r="M752" s="119"/>
      <c r="N752" s="119"/>
      <c r="O752" s="119"/>
      <c r="P752" s="119"/>
    </row>
    <row r="753" spans="3:16" x14ac:dyDescent="0.2">
      <c r="C753" s="119"/>
      <c r="D753" s="119"/>
      <c r="E753" s="119"/>
      <c r="F753" s="119"/>
      <c r="G753" s="119"/>
      <c r="H753" s="119"/>
      <c r="I753" s="143"/>
      <c r="J753" s="143"/>
      <c r="K753" s="119"/>
      <c r="L753" s="119"/>
      <c r="M753" s="119"/>
      <c r="N753" s="119"/>
      <c r="O753" s="119"/>
      <c r="P753" s="119"/>
    </row>
    <row r="754" spans="3:16" x14ac:dyDescent="0.2">
      <c r="C754" s="119"/>
      <c r="D754" s="119"/>
      <c r="E754" s="119"/>
      <c r="F754" s="119"/>
      <c r="G754" s="119"/>
      <c r="H754" s="119"/>
      <c r="I754" s="143"/>
      <c r="J754" s="143"/>
      <c r="K754" s="119"/>
      <c r="L754" s="119"/>
      <c r="M754" s="119"/>
      <c r="N754" s="119"/>
      <c r="O754" s="119"/>
      <c r="P754" s="119"/>
    </row>
    <row r="755" spans="3:16" x14ac:dyDescent="0.2">
      <c r="C755" s="119"/>
      <c r="D755" s="119"/>
      <c r="E755" s="119"/>
      <c r="F755" s="119"/>
      <c r="G755" s="119"/>
      <c r="H755" s="119"/>
      <c r="I755" s="143"/>
      <c r="J755" s="143"/>
      <c r="K755" s="119"/>
      <c r="L755" s="119"/>
      <c r="M755" s="119"/>
      <c r="N755" s="119"/>
      <c r="O755" s="119"/>
      <c r="P755" s="119"/>
    </row>
    <row r="756" spans="3:16" x14ac:dyDescent="0.2">
      <c r="C756" s="119"/>
      <c r="D756" s="119"/>
      <c r="E756" s="119"/>
      <c r="F756" s="119"/>
      <c r="G756" s="119"/>
      <c r="H756" s="119"/>
      <c r="I756" s="143"/>
      <c r="J756" s="143"/>
      <c r="K756" s="119"/>
      <c r="L756" s="119"/>
      <c r="M756" s="119"/>
      <c r="N756" s="119"/>
      <c r="O756" s="119"/>
      <c r="P756" s="119"/>
    </row>
    <row r="757" spans="3:16" x14ac:dyDescent="0.2">
      <c r="C757" s="119"/>
      <c r="D757" s="119"/>
      <c r="E757" s="119"/>
      <c r="F757" s="119"/>
      <c r="G757" s="119"/>
      <c r="H757" s="119"/>
      <c r="I757" s="143"/>
      <c r="J757" s="143"/>
      <c r="K757" s="119"/>
      <c r="L757" s="119"/>
      <c r="M757" s="119"/>
      <c r="N757" s="119"/>
      <c r="O757" s="119"/>
      <c r="P757" s="119"/>
    </row>
    <row r="758" spans="3:16" x14ac:dyDescent="0.2">
      <c r="C758" s="119"/>
      <c r="D758" s="119"/>
      <c r="E758" s="119"/>
      <c r="F758" s="119"/>
      <c r="G758" s="119"/>
      <c r="H758" s="119"/>
      <c r="I758" s="143"/>
      <c r="J758" s="143"/>
      <c r="K758" s="119"/>
      <c r="L758" s="119"/>
      <c r="M758" s="119"/>
      <c r="N758" s="119"/>
      <c r="O758" s="119"/>
      <c r="P758" s="119"/>
    </row>
    <row r="759" spans="3:16" x14ac:dyDescent="0.2">
      <c r="C759" s="119"/>
      <c r="D759" s="119"/>
      <c r="E759" s="119"/>
      <c r="F759" s="119"/>
      <c r="G759" s="119"/>
      <c r="H759" s="119"/>
      <c r="I759" s="143"/>
      <c r="J759" s="143"/>
      <c r="K759" s="119"/>
      <c r="L759" s="119"/>
      <c r="M759" s="119"/>
      <c r="N759" s="119"/>
      <c r="O759" s="119"/>
      <c r="P759" s="119"/>
    </row>
    <row r="760" spans="3:16" x14ac:dyDescent="0.2">
      <c r="C760" s="119"/>
      <c r="D760" s="119"/>
      <c r="E760" s="119"/>
      <c r="F760" s="119"/>
      <c r="G760" s="119"/>
      <c r="H760" s="119"/>
      <c r="I760" s="143"/>
      <c r="J760" s="143"/>
      <c r="K760" s="119"/>
      <c r="L760" s="119"/>
      <c r="M760" s="119"/>
      <c r="N760" s="119"/>
      <c r="O760" s="119"/>
      <c r="P760" s="119"/>
    </row>
    <row r="761" spans="3:16" x14ac:dyDescent="0.2">
      <c r="C761" s="119"/>
      <c r="D761" s="119"/>
      <c r="E761" s="119"/>
      <c r="F761" s="119"/>
      <c r="G761" s="119"/>
      <c r="H761" s="119"/>
      <c r="I761" s="143"/>
      <c r="J761" s="143"/>
      <c r="K761" s="119"/>
      <c r="L761" s="119"/>
      <c r="M761" s="119"/>
      <c r="N761" s="119"/>
      <c r="O761" s="119"/>
      <c r="P761" s="119"/>
    </row>
    <row r="762" spans="3:16" x14ac:dyDescent="0.2">
      <c r="C762" s="119"/>
      <c r="D762" s="119"/>
      <c r="E762" s="119"/>
      <c r="F762" s="119"/>
      <c r="G762" s="119"/>
      <c r="H762" s="119"/>
      <c r="I762" s="143"/>
      <c r="J762" s="143"/>
      <c r="K762" s="119"/>
      <c r="L762" s="119"/>
      <c r="M762" s="119"/>
      <c r="N762" s="119"/>
      <c r="O762" s="119"/>
      <c r="P762" s="119"/>
    </row>
    <row r="763" spans="3:16" x14ac:dyDescent="0.2">
      <c r="C763" s="119"/>
      <c r="D763" s="119"/>
      <c r="E763" s="119"/>
      <c r="F763" s="119"/>
      <c r="G763" s="119"/>
      <c r="H763" s="119"/>
      <c r="I763" s="143"/>
      <c r="J763" s="143"/>
      <c r="K763" s="119"/>
      <c r="L763" s="119"/>
      <c r="M763" s="119"/>
      <c r="N763" s="119"/>
      <c r="O763" s="119"/>
      <c r="P763" s="119"/>
    </row>
    <row r="764" spans="3:16" x14ac:dyDescent="0.2">
      <c r="C764" s="119"/>
      <c r="D764" s="119"/>
      <c r="E764" s="119"/>
      <c r="F764" s="119"/>
      <c r="G764" s="119"/>
      <c r="H764" s="119"/>
      <c r="I764" s="143"/>
      <c r="J764" s="143"/>
      <c r="K764" s="119"/>
      <c r="L764" s="119"/>
      <c r="M764" s="119"/>
      <c r="N764" s="119"/>
      <c r="O764" s="119"/>
      <c r="P764" s="119"/>
    </row>
    <row r="765" spans="3:16" x14ac:dyDescent="0.2">
      <c r="C765" s="119"/>
      <c r="D765" s="119"/>
      <c r="E765" s="119"/>
      <c r="F765" s="119"/>
      <c r="G765" s="119"/>
      <c r="H765" s="119"/>
      <c r="I765" s="143"/>
      <c r="J765" s="143"/>
      <c r="K765" s="119"/>
      <c r="L765" s="119"/>
      <c r="M765" s="119"/>
      <c r="N765" s="119"/>
      <c r="O765" s="119"/>
      <c r="P765" s="119"/>
    </row>
    <row r="766" spans="3:16" x14ac:dyDescent="0.2">
      <c r="C766" s="119"/>
      <c r="D766" s="119"/>
      <c r="E766" s="119"/>
      <c r="F766" s="119"/>
      <c r="G766" s="119"/>
      <c r="H766" s="119"/>
      <c r="I766" s="143"/>
      <c r="J766" s="143"/>
      <c r="K766" s="119"/>
      <c r="L766" s="119"/>
      <c r="M766" s="119"/>
      <c r="N766" s="119"/>
      <c r="O766" s="119"/>
      <c r="P766" s="119"/>
    </row>
    <row r="767" spans="3:16" x14ac:dyDescent="0.2">
      <c r="C767" s="119"/>
      <c r="D767" s="119"/>
      <c r="E767" s="119"/>
      <c r="F767" s="119"/>
      <c r="G767" s="119"/>
      <c r="H767" s="119"/>
      <c r="I767" s="143"/>
      <c r="J767" s="143"/>
      <c r="K767" s="119"/>
      <c r="L767" s="119"/>
      <c r="M767" s="119"/>
      <c r="N767" s="119"/>
      <c r="O767" s="119"/>
      <c r="P767" s="119"/>
    </row>
    <row r="768" spans="3:16" x14ac:dyDescent="0.2">
      <c r="C768" s="119"/>
      <c r="D768" s="119"/>
      <c r="E768" s="119"/>
      <c r="F768" s="119"/>
      <c r="G768" s="119"/>
      <c r="H768" s="119"/>
      <c r="I768" s="143"/>
      <c r="J768" s="143"/>
      <c r="K768" s="119"/>
      <c r="L768" s="119"/>
      <c r="M768" s="119"/>
      <c r="N768" s="119"/>
      <c r="O768" s="119"/>
      <c r="P768" s="119"/>
    </row>
    <row r="769" spans="3:16" x14ac:dyDescent="0.2">
      <c r="C769" s="119"/>
      <c r="D769" s="119"/>
      <c r="E769" s="119"/>
      <c r="F769" s="119"/>
      <c r="G769" s="119"/>
      <c r="H769" s="119"/>
      <c r="I769" s="143"/>
      <c r="J769" s="143"/>
      <c r="K769" s="119"/>
      <c r="L769" s="119"/>
      <c r="M769" s="119"/>
      <c r="N769" s="119"/>
      <c r="O769" s="119"/>
      <c r="P769" s="119"/>
    </row>
    <row r="770" spans="3:16" x14ac:dyDescent="0.2">
      <c r="C770" s="119"/>
      <c r="D770" s="119"/>
      <c r="E770" s="119"/>
      <c r="F770" s="119"/>
      <c r="G770" s="119"/>
      <c r="H770" s="119"/>
      <c r="I770" s="143"/>
      <c r="J770" s="143"/>
      <c r="K770" s="119"/>
      <c r="L770" s="119"/>
      <c r="M770" s="119"/>
      <c r="N770" s="119"/>
      <c r="O770" s="119"/>
      <c r="P770" s="119"/>
    </row>
    <row r="771" spans="3:16" x14ac:dyDescent="0.2">
      <c r="C771" s="119"/>
      <c r="D771" s="119"/>
      <c r="E771" s="119"/>
      <c r="F771" s="119"/>
      <c r="G771" s="119"/>
      <c r="H771" s="119"/>
      <c r="I771" s="143"/>
      <c r="J771" s="143"/>
      <c r="K771" s="119"/>
      <c r="L771" s="119"/>
      <c r="M771" s="119"/>
      <c r="N771" s="119"/>
      <c r="O771" s="119"/>
      <c r="P771" s="119"/>
    </row>
    <row r="772" spans="3:16" x14ac:dyDescent="0.2">
      <c r="C772" s="119"/>
      <c r="D772" s="119"/>
      <c r="E772" s="119"/>
      <c r="F772" s="119"/>
      <c r="G772" s="119"/>
      <c r="H772" s="119"/>
      <c r="I772" s="143"/>
      <c r="J772" s="143"/>
      <c r="K772" s="119"/>
      <c r="L772" s="119"/>
      <c r="M772" s="119"/>
      <c r="N772" s="119"/>
      <c r="O772" s="119"/>
      <c r="P772" s="119"/>
    </row>
    <row r="773" spans="3:16" x14ac:dyDescent="0.2">
      <c r="C773" s="119"/>
      <c r="D773" s="119"/>
      <c r="E773" s="119"/>
      <c r="F773" s="119"/>
      <c r="G773" s="119"/>
      <c r="H773" s="119"/>
      <c r="I773" s="143"/>
      <c r="J773" s="143"/>
      <c r="K773" s="119"/>
      <c r="L773" s="119"/>
      <c r="M773" s="119"/>
      <c r="N773" s="119"/>
      <c r="O773" s="119"/>
      <c r="P773" s="119"/>
    </row>
    <row r="774" spans="3:16" x14ac:dyDescent="0.2">
      <c r="C774" s="119"/>
      <c r="D774" s="119"/>
      <c r="E774" s="119"/>
      <c r="F774" s="119"/>
      <c r="G774" s="119"/>
      <c r="H774" s="119"/>
      <c r="I774" s="143"/>
      <c r="J774" s="143"/>
      <c r="K774" s="119"/>
      <c r="L774" s="119"/>
      <c r="M774" s="119"/>
      <c r="N774" s="119"/>
      <c r="O774" s="119"/>
      <c r="P774" s="119"/>
    </row>
    <row r="775" spans="3:16" x14ac:dyDescent="0.2">
      <c r="C775" s="119"/>
      <c r="D775" s="119"/>
      <c r="E775" s="119"/>
      <c r="F775" s="119"/>
      <c r="G775" s="119"/>
      <c r="H775" s="119"/>
      <c r="I775" s="143"/>
      <c r="J775" s="143"/>
      <c r="K775" s="119"/>
      <c r="L775" s="119"/>
      <c r="M775" s="119"/>
      <c r="N775" s="119"/>
      <c r="O775" s="119"/>
      <c r="P775" s="119"/>
    </row>
    <row r="776" spans="3:16" x14ac:dyDescent="0.2">
      <c r="C776" s="119"/>
      <c r="D776" s="119"/>
      <c r="E776" s="119"/>
      <c r="F776" s="119"/>
      <c r="G776" s="119"/>
      <c r="H776" s="119"/>
      <c r="I776" s="143"/>
      <c r="J776" s="143"/>
      <c r="K776" s="119"/>
      <c r="L776" s="119"/>
      <c r="M776" s="119"/>
      <c r="N776" s="119"/>
      <c r="O776" s="119"/>
      <c r="P776" s="119"/>
    </row>
    <row r="777" spans="3:16" x14ac:dyDescent="0.2">
      <c r="C777" s="119"/>
      <c r="D777" s="119"/>
      <c r="E777" s="119"/>
      <c r="F777" s="119"/>
      <c r="G777" s="119"/>
      <c r="H777" s="119"/>
      <c r="I777" s="143"/>
      <c r="J777" s="143"/>
      <c r="K777" s="119"/>
      <c r="L777" s="119"/>
      <c r="M777" s="119"/>
      <c r="N777" s="119"/>
      <c r="O777" s="119"/>
      <c r="P777" s="119"/>
    </row>
    <row r="778" spans="3:16" x14ac:dyDescent="0.2">
      <c r="C778" s="119"/>
      <c r="D778" s="119"/>
      <c r="E778" s="119"/>
      <c r="F778" s="119"/>
      <c r="G778" s="119"/>
      <c r="H778" s="119"/>
      <c r="I778" s="143"/>
      <c r="J778" s="143"/>
      <c r="K778" s="119"/>
      <c r="L778" s="119"/>
      <c r="M778" s="119"/>
      <c r="N778" s="119"/>
      <c r="O778" s="119"/>
      <c r="P778" s="119"/>
    </row>
    <row r="779" spans="3:16" x14ac:dyDescent="0.2">
      <c r="C779" s="119"/>
      <c r="D779" s="119"/>
      <c r="E779" s="119"/>
      <c r="F779" s="119"/>
      <c r="G779" s="119"/>
      <c r="H779" s="119"/>
      <c r="I779" s="143"/>
      <c r="J779" s="143"/>
      <c r="K779" s="119"/>
      <c r="L779" s="119"/>
      <c r="M779" s="119"/>
      <c r="N779" s="119"/>
      <c r="O779" s="119"/>
      <c r="P779" s="119"/>
    </row>
    <row r="780" spans="3:16" x14ac:dyDescent="0.2">
      <c r="C780" s="119"/>
      <c r="D780" s="119"/>
      <c r="E780" s="119"/>
      <c r="F780" s="119"/>
      <c r="G780" s="119"/>
      <c r="H780" s="119"/>
      <c r="I780" s="143"/>
      <c r="J780" s="143"/>
      <c r="K780" s="119"/>
      <c r="L780" s="119"/>
      <c r="M780" s="119"/>
      <c r="N780" s="119"/>
      <c r="O780" s="119"/>
      <c r="P780" s="119"/>
    </row>
    <row r="781" spans="3:16" x14ac:dyDescent="0.2">
      <c r="C781" s="119"/>
      <c r="D781" s="119"/>
      <c r="E781" s="119"/>
      <c r="F781" s="119"/>
      <c r="G781" s="119"/>
      <c r="H781" s="119"/>
      <c r="I781" s="143"/>
      <c r="J781" s="143"/>
      <c r="K781" s="119"/>
      <c r="L781" s="119"/>
      <c r="M781" s="119"/>
      <c r="N781" s="119"/>
      <c r="O781" s="119"/>
      <c r="P781" s="119"/>
    </row>
    <row r="782" spans="3:16" x14ac:dyDescent="0.2">
      <c r="C782" s="119"/>
      <c r="D782" s="119"/>
      <c r="E782" s="119"/>
      <c r="F782" s="119"/>
      <c r="G782" s="119"/>
      <c r="H782" s="119"/>
      <c r="I782" s="143"/>
      <c r="J782" s="143"/>
      <c r="K782" s="119"/>
      <c r="L782" s="119"/>
      <c r="M782" s="119"/>
      <c r="N782" s="119"/>
      <c r="O782" s="119"/>
      <c r="P782" s="119"/>
    </row>
    <row r="783" spans="3:16" x14ac:dyDescent="0.2">
      <c r="C783" s="119"/>
      <c r="D783" s="119"/>
      <c r="E783" s="119"/>
      <c r="F783" s="119"/>
      <c r="G783" s="119"/>
      <c r="H783" s="119"/>
      <c r="I783" s="143"/>
      <c r="J783" s="143"/>
      <c r="K783" s="119"/>
      <c r="L783" s="119"/>
      <c r="M783" s="119"/>
      <c r="N783" s="119"/>
      <c r="O783" s="119"/>
      <c r="P783" s="119"/>
    </row>
    <row r="784" spans="3:16" x14ac:dyDescent="0.2">
      <c r="C784" s="119"/>
      <c r="D784" s="119"/>
      <c r="E784" s="119"/>
      <c r="F784" s="119"/>
      <c r="G784" s="119"/>
      <c r="H784" s="119"/>
      <c r="I784" s="143"/>
      <c r="J784" s="143"/>
      <c r="K784" s="119"/>
      <c r="L784" s="119"/>
      <c r="M784" s="119"/>
      <c r="N784" s="119"/>
      <c r="O784" s="119"/>
      <c r="P784" s="119"/>
    </row>
    <row r="785" spans="3:16" x14ac:dyDescent="0.2">
      <c r="C785" s="119"/>
      <c r="D785" s="119"/>
      <c r="E785" s="119"/>
      <c r="F785" s="119"/>
      <c r="G785" s="119"/>
      <c r="H785" s="119"/>
      <c r="I785" s="143"/>
      <c r="J785" s="143"/>
      <c r="K785" s="119"/>
      <c r="L785" s="119"/>
      <c r="M785" s="119"/>
      <c r="N785" s="119"/>
      <c r="O785" s="119"/>
      <c r="P785" s="119"/>
    </row>
    <row r="786" spans="3:16" x14ac:dyDescent="0.2">
      <c r="C786" s="119"/>
      <c r="D786" s="119"/>
      <c r="E786" s="119"/>
      <c r="F786" s="119"/>
      <c r="G786" s="119"/>
      <c r="H786" s="119"/>
      <c r="I786" s="143"/>
      <c r="J786" s="143"/>
      <c r="K786" s="119"/>
      <c r="L786" s="119"/>
      <c r="M786" s="119"/>
      <c r="N786" s="119"/>
      <c r="O786" s="119"/>
      <c r="P786" s="119"/>
    </row>
    <row r="787" spans="3:16" x14ac:dyDescent="0.2">
      <c r="C787" s="119"/>
      <c r="D787" s="119"/>
      <c r="E787" s="119"/>
      <c r="F787" s="119"/>
      <c r="G787" s="119"/>
      <c r="H787" s="119"/>
      <c r="I787" s="143"/>
      <c r="J787" s="143"/>
      <c r="K787" s="119"/>
      <c r="L787" s="119"/>
      <c r="M787" s="119"/>
      <c r="N787" s="119"/>
      <c r="O787" s="119"/>
      <c r="P787" s="119"/>
    </row>
    <row r="788" spans="3:16" x14ac:dyDescent="0.2">
      <c r="C788" s="119"/>
      <c r="D788" s="119"/>
      <c r="E788" s="119"/>
      <c r="F788" s="119"/>
      <c r="G788" s="119"/>
      <c r="H788" s="119"/>
      <c r="I788" s="143"/>
      <c r="J788" s="143"/>
      <c r="K788" s="119"/>
      <c r="L788" s="119"/>
      <c r="M788" s="119"/>
      <c r="N788" s="119"/>
      <c r="O788" s="119"/>
      <c r="P788" s="119"/>
    </row>
    <row r="789" spans="3:16" x14ac:dyDescent="0.2">
      <c r="C789" s="119"/>
      <c r="D789" s="119"/>
      <c r="E789" s="119"/>
      <c r="F789" s="119"/>
      <c r="G789" s="119"/>
      <c r="H789" s="119"/>
      <c r="I789" s="143"/>
      <c r="J789" s="143"/>
      <c r="K789" s="119"/>
      <c r="L789" s="119"/>
      <c r="M789" s="119"/>
      <c r="N789" s="119"/>
      <c r="O789" s="119"/>
      <c r="P789" s="119"/>
    </row>
    <row r="790" spans="3:16" x14ac:dyDescent="0.2">
      <c r="C790" s="119"/>
      <c r="D790" s="119"/>
      <c r="E790" s="119"/>
      <c r="F790" s="119"/>
      <c r="G790" s="119"/>
      <c r="H790" s="119"/>
      <c r="I790" s="143"/>
      <c r="J790" s="143"/>
      <c r="K790" s="119"/>
      <c r="L790" s="119"/>
      <c r="M790" s="119"/>
      <c r="N790" s="119"/>
      <c r="O790" s="119"/>
      <c r="P790" s="119"/>
    </row>
    <row r="791" spans="3:16" x14ac:dyDescent="0.2">
      <c r="C791" s="119"/>
      <c r="D791" s="119"/>
      <c r="E791" s="119"/>
      <c r="F791" s="119"/>
      <c r="G791" s="119"/>
      <c r="H791" s="119"/>
      <c r="I791" s="143"/>
      <c r="J791" s="143"/>
      <c r="K791" s="119"/>
      <c r="L791" s="119"/>
      <c r="M791" s="119"/>
      <c r="N791" s="119"/>
      <c r="O791" s="119"/>
      <c r="P791" s="119"/>
    </row>
    <row r="792" spans="3:16" x14ac:dyDescent="0.2">
      <c r="C792" s="119"/>
      <c r="D792" s="119"/>
      <c r="E792" s="119"/>
      <c r="F792" s="119"/>
      <c r="G792" s="119"/>
      <c r="H792" s="119"/>
      <c r="I792" s="143"/>
      <c r="J792" s="143"/>
      <c r="K792" s="119"/>
      <c r="L792" s="119"/>
      <c r="M792" s="119"/>
      <c r="N792" s="119"/>
      <c r="O792" s="119"/>
      <c r="P792" s="119"/>
    </row>
    <row r="793" spans="3:16" x14ac:dyDescent="0.2">
      <c r="C793" s="119"/>
      <c r="D793" s="119"/>
      <c r="E793" s="119"/>
      <c r="F793" s="119"/>
      <c r="G793" s="119"/>
      <c r="H793" s="119"/>
      <c r="I793" s="143"/>
      <c r="J793" s="143"/>
      <c r="K793" s="119"/>
      <c r="L793" s="119"/>
      <c r="M793" s="119"/>
      <c r="N793" s="119"/>
      <c r="O793" s="119"/>
      <c r="P793" s="119"/>
    </row>
    <row r="794" spans="3:16" x14ac:dyDescent="0.2">
      <c r="C794" s="119"/>
      <c r="D794" s="119"/>
      <c r="E794" s="119"/>
      <c r="F794" s="119"/>
      <c r="G794" s="119"/>
      <c r="H794" s="119"/>
      <c r="I794" s="143"/>
      <c r="J794" s="143"/>
      <c r="K794" s="119"/>
      <c r="L794" s="119"/>
      <c r="M794" s="119"/>
      <c r="N794" s="119"/>
      <c r="O794" s="119"/>
      <c r="P794" s="119"/>
    </row>
    <row r="795" spans="3:16" x14ac:dyDescent="0.2">
      <c r="C795" s="119"/>
      <c r="D795" s="119"/>
      <c r="E795" s="119"/>
      <c r="F795" s="119"/>
      <c r="G795" s="119"/>
      <c r="H795" s="119"/>
      <c r="I795" s="143"/>
      <c r="J795" s="143"/>
      <c r="K795" s="119"/>
      <c r="L795" s="119"/>
      <c r="M795" s="119"/>
      <c r="N795" s="119"/>
      <c r="O795" s="119"/>
      <c r="P795" s="119"/>
    </row>
    <row r="796" spans="3:16" x14ac:dyDescent="0.2">
      <c r="C796" s="119"/>
      <c r="D796" s="119"/>
      <c r="E796" s="119"/>
      <c r="F796" s="119"/>
      <c r="G796" s="119"/>
      <c r="H796" s="119"/>
      <c r="I796" s="143"/>
      <c r="J796" s="143"/>
      <c r="K796" s="119"/>
      <c r="L796" s="119"/>
      <c r="M796" s="119"/>
      <c r="N796" s="119"/>
      <c r="O796" s="119"/>
      <c r="P796" s="119"/>
    </row>
    <row r="797" spans="3:16" x14ac:dyDescent="0.2">
      <c r="C797" s="119"/>
      <c r="D797" s="119"/>
      <c r="E797" s="119"/>
      <c r="F797" s="119"/>
      <c r="G797" s="119"/>
      <c r="H797" s="119"/>
      <c r="I797" s="143"/>
      <c r="J797" s="143"/>
      <c r="K797" s="119"/>
      <c r="L797" s="119"/>
      <c r="M797" s="119"/>
      <c r="N797" s="119"/>
      <c r="O797" s="119"/>
      <c r="P797" s="119"/>
    </row>
    <row r="798" spans="3:16" x14ac:dyDescent="0.2">
      <c r="C798" s="119"/>
      <c r="D798" s="119"/>
      <c r="E798" s="119"/>
      <c r="F798" s="119"/>
      <c r="G798" s="119"/>
      <c r="H798" s="119"/>
      <c r="I798" s="143"/>
      <c r="J798" s="143"/>
      <c r="K798" s="119"/>
      <c r="L798" s="119"/>
      <c r="M798" s="119"/>
      <c r="N798" s="119"/>
      <c r="O798" s="119"/>
      <c r="P798" s="119"/>
    </row>
    <row r="799" spans="3:16" x14ac:dyDescent="0.2">
      <c r="C799" s="119"/>
      <c r="D799" s="119"/>
      <c r="E799" s="119"/>
      <c r="F799" s="119"/>
      <c r="G799" s="119"/>
      <c r="H799" s="119"/>
      <c r="I799" s="143"/>
      <c r="J799" s="143"/>
      <c r="K799" s="119"/>
      <c r="L799" s="119"/>
      <c r="M799" s="119"/>
      <c r="N799" s="119"/>
      <c r="O799" s="119"/>
      <c r="P799" s="119"/>
    </row>
    <row r="800" spans="3:16" x14ac:dyDescent="0.2">
      <c r="C800" s="119"/>
      <c r="D800" s="119"/>
      <c r="E800" s="119"/>
      <c r="F800" s="119"/>
      <c r="G800" s="119"/>
      <c r="H800" s="119"/>
      <c r="I800" s="143"/>
      <c r="J800" s="143"/>
      <c r="K800" s="119"/>
      <c r="L800" s="119"/>
      <c r="M800" s="119"/>
      <c r="N800" s="119"/>
      <c r="O800" s="119"/>
      <c r="P800" s="119"/>
    </row>
    <row r="801" spans="3:16" x14ac:dyDescent="0.2">
      <c r="C801" s="119"/>
      <c r="D801" s="119"/>
      <c r="E801" s="119"/>
      <c r="F801" s="119"/>
      <c r="G801" s="119"/>
      <c r="H801" s="119"/>
      <c r="I801" s="143"/>
      <c r="J801" s="143"/>
      <c r="K801" s="119"/>
      <c r="L801" s="119"/>
      <c r="M801" s="119"/>
      <c r="N801" s="119"/>
      <c r="O801" s="119"/>
      <c r="P801" s="119"/>
    </row>
    <row r="802" spans="3:16" x14ac:dyDescent="0.2">
      <c r="C802" s="119"/>
      <c r="D802" s="119"/>
      <c r="E802" s="119"/>
      <c r="F802" s="119"/>
      <c r="G802" s="119"/>
      <c r="H802" s="119"/>
      <c r="I802" s="143"/>
      <c r="J802" s="143"/>
      <c r="K802" s="119"/>
      <c r="L802" s="119"/>
      <c r="M802" s="119"/>
      <c r="N802" s="119"/>
      <c r="O802" s="119"/>
      <c r="P802" s="119"/>
    </row>
    <row r="803" spans="3:16" x14ac:dyDescent="0.2">
      <c r="C803" s="119"/>
      <c r="D803" s="119"/>
      <c r="E803" s="119"/>
      <c r="F803" s="119"/>
      <c r="G803" s="119"/>
      <c r="H803" s="119"/>
      <c r="I803" s="143"/>
      <c r="J803" s="143"/>
      <c r="K803" s="119"/>
      <c r="L803" s="119"/>
      <c r="M803" s="119"/>
      <c r="N803" s="119"/>
      <c r="O803" s="119"/>
      <c r="P803" s="119"/>
    </row>
    <row r="804" spans="3:16" x14ac:dyDescent="0.2">
      <c r="C804" s="119"/>
      <c r="D804" s="119"/>
      <c r="E804" s="119"/>
      <c r="F804" s="119"/>
      <c r="G804" s="119"/>
      <c r="H804" s="119"/>
      <c r="I804" s="143"/>
      <c r="J804" s="143"/>
      <c r="K804" s="119"/>
      <c r="L804" s="119"/>
      <c r="M804" s="119"/>
      <c r="N804" s="119"/>
      <c r="O804" s="119"/>
      <c r="P804" s="119"/>
    </row>
    <row r="805" spans="3:16" x14ac:dyDescent="0.2">
      <c r="C805" s="119"/>
      <c r="D805" s="119"/>
      <c r="E805" s="119"/>
      <c r="F805" s="119"/>
      <c r="G805" s="119"/>
      <c r="H805" s="119"/>
      <c r="I805" s="143"/>
      <c r="J805" s="143"/>
      <c r="K805" s="119"/>
      <c r="L805" s="119"/>
      <c r="M805" s="119"/>
      <c r="N805" s="119"/>
      <c r="O805" s="119"/>
      <c r="P805" s="119"/>
    </row>
    <row r="806" spans="3:16" x14ac:dyDescent="0.2">
      <c r="C806" s="119"/>
      <c r="D806" s="119"/>
      <c r="E806" s="119"/>
      <c r="F806" s="119"/>
      <c r="G806" s="119"/>
      <c r="H806" s="119"/>
      <c r="I806" s="143"/>
      <c r="J806" s="143"/>
      <c r="K806" s="119"/>
      <c r="L806" s="119"/>
      <c r="M806" s="119"/>
      <c r="N806" s="119"/>
      <c r="O806" s="119"/>
      <c r="P806" s="119"/>
    </row>
    <row r="807" spans="3:16" x14ac:dyDescent="0.2">
      <c r="C807" s="119"/>
      <c r="D807" s="119"/>
      <c r="E807" s="119"/>
      <c r="F807" s="119"/>
      <c r="G807" s="119"/>
      <c r="H807" s="119"/>
      <c r="I807" s="143"/>
      <c r="J807" s="143"/>
      <c r="K807" s="119"/>
      <c r="L807" s="119"/>
      <c r="M807" s="119"/>
      <c r="N807" s="119"/>
      <c r="O807" s="119"/>
      <c r="P807" s="119"/>
    </row>
    <row r="808" spans="3:16" x14ac:dyDescent="0.2">
      <c r="C808" s="119"/>
      <c r="D808" s="119"/>
      <c r="E808" s="119"/>
      <c r="F808" s="119"/>
      <c r="G808" s="119"/>
      <c r="H808" s="119"/>
      <c r="I808" s="143"/>
      <c r="J808" s="143"/>
      <c r="K808" s="119"/>
      <c r="L808" s="119"/>
      <c r="M808" s="119"/>
      <c r="N808" s="119"/>
      <c r="O808" s="119"/>
      <c r="P808" s="119"/>
    </row>
    <row r="809" spans="3:16" x14ac:dyDescent="0.2">
      <c r="C809" s="119"/>
      <c r="D809" s="119"/>
      <c r="E809" s="119"/>
      <c r="F809" s="119"/>
      <c r="G809" s="119"/>
      <c r="H809" s="119"/>
      <c r="I809" s="143"/>
      <c r="J809" s="143"/>
      <c r="K809" s="119"/>
      <c r="L809" s="119"/>
      <c r="M809" s="119"/>
      <c r="N809" s="119"/>
      <c r="O809" s="119"/>
      <c r="P809" s="119"/>
    </row>
    <row r="810" spans="3:16" x14ac:dyDescent="0.2">
      <c r="C810" s="119"/>
      <c r="D810" s="119"/>
      <c r="E810" s="119"/>
      <c r="F810" s="119"/>
      <c r="G810" s="119"/>
      <c r="H810" s="119"/>
      <c r="I810" s="143"/>
      <c r="J810" s="143"/>
      <c r="K810" s="119"/>
      <c r="L810" s="119"/>
      <c r="M810" s="119"/>
      <c r="N810" s="119"/>
      <c r="O810" s="119"/>
      <c r="P810" s="119"/>
    </row>
    <row r="811" spans="3:16" x14ac:dyDescent="0.2">
      <c r="C811" s="119"/>
      <c r="D811" s="119"/>
      <c r="E811" s="119"/>
      <c r="F811" s="119"/>
      <c r="G811" s="119"/>
      <c r="H811" s="119"/>
      <c r="I811" s="143"/>
      <c r="J811" s="143"/>
      <c r="K811" s="119"/>
      <c r="L811" s="119"/>
      <c r="M811" s="119"/>
      <c r="N811" s="119"/>
      <c r="O811" s="119"/>
      <c r="P811" s="119"/>
    </row>
    <row r="812" spans="3:16" x14ac:dyDescent="0.2">
      <c r="C812" s="119"/>
      <c r="D812" s="119"/>
      <c r="E812" s="119"/>
      <c r="F812" s="119"/>
      <c r="G812" s="119"/>
      <c r="H812" s="119"/>
      <c r="I812" s="143"/>
      <c r="J812" s="143"/>
      <c r="K812" s="119"/>
      <c r="L812" s="119"/>
      <c r="M812" s="119"/>
      <c r="N812" s="119"/>
      <c r="O812" s="119"/>
      <c r="P812" s="119"/>
    </row>
    <row r="813" spans="3:16" x14ac:dyDescent="0.2">
      <c r="C813" s="119"/>
      <c r="D813" s="119"/>
      <c r="E813" s="119"/>
      <c r="F813" s="119"/>
      <c r="G813" s="119"/>
      <c r="H813" s="119"/>
      <c r="I813" s="143"/>
      <c r="J813" s="143"/>
      <c r="K813" s="119"/>
      <c r="L813" s="119"/>
      <c r="M813" s="119"/>
      <c r="N813" s="119"/>
      <c r="O813" s="119"/>
      <c r="P813" s="119"/>
    </row>
    <row r="814" spans="3:16" x14ac:dyDescent="0.2">
      <c r="C814" s="119"/>
      <c r="D814" s="119"/>
      <c r="E814" s="119"/>
      <c r="F814" s="119"/>
      <c r="G814" s="119"/>
      <c r="H814" s="119"/>
      <c r="I814" s="143"/>
      <c r="J814" s="143"/>
      <c r="K814" s="119"/>
      <c r="L814" s="119"/>
      <c r="M814" s="119"/>
      <c r="N814" s="119"/>
      <c r="O814" s="119"/>
      <c r="P814" s="119"/>
    </row>
    <row r="815" spans="3:16" x14ac:dyDescent="0.2">
      <c r="C815" s="119"/>
      <c r="D815" s="119"/>
      <c r="E815" s="119"/>
      <c r="F815" s="119"/>
      <c r="G815" s="119"/>
      <c r="H815" s="119"/>
      <c r="I815" s="143"/>
      <c r="J815" s="143"/>
      <c r="K815" s="119"/>
      <c r="L815" s="119"/>
      <c r="M815" s="119"/>
      <c r="N815" s="119"/>
      <c r="O815" s="119"/>
      <c r="P815" s="119"/>
    </row>
    <row r="816" spans="3:16" x14ac:dyDescent="0.2">
      <c r="C816" s="119"/>
      <c r="D816" s="119"/>
      <c r="E816" s="119"/>
      <c r="F816" s="119"/>
      <c r="G816" s="119"/>
      <c r="H816" s="119"/>
      <c r="I816" s="143"/>
      <c r="J816" s="143"/>
      <c r="K816" s="119"/>
      <c r="L816" s="119"/>
      <c r="M816" s="119"/>
      <c r="N816" s="119"/>
      <c r="O816" s="119"/>
      <c r="P816" s="119"/>
    </row>
    <row r="817" spans="3:16" x14ac:dyDescent="0.2">
      <c r="C817" s="119"/>
      <c r="D817" s="119"/>
      <c r="E817" s="119"/>
      <c r="F817" s="119"/>
      <c r="G817" s="119"/>
      <c r="H817" s="119"/>
      <c r="I817" s="143"/>
      <c r="J817" s="143"/>
      <c r="K817" s="119"/>
      <c r="L817" s="119"/>
      <c r="M817" s="119"/>
      <c r="N817" s="119"/>
      <c r="O817" s="119"/>
      <c r="P817" s="119"/>
    </row>
    <row r="818" spans="3:16" x14ac:dyDescent="0.2">
      <c r="C818" s="119"/>
      <c r="D818" s="119"/>
      <c r="E818" s="119"/>
      <c r="F818" s="119"/>
      <c r="G818" s="119"/>
      <c r="H818" s="119"/>
      <c r="I818" s="143"/>
      <c r="J818" s="143"/>
      <c r="K818" s="119"/>
      <c r="L818" s="119"/>
      <c r="M818" s="119"/>
      <c r="N818" s="119"/>
      <c r="O818" s="119"/>
      <c r="P818" s="119"/>
    </row>
    <row r="819" spans="3:16" x14ac:dyDescent="0.2">
      <c r="C819" s="119"/>
      <c r="D819" s="119"/>
      <c r="E819" s="119"/>
      <c r="F819" s="119"/>
      <c r="G819" s="119"/>
      <c r="H819" s="119"/>
      <c r="I819" s="143"/>
      <c r="J819" s="143"/>
      <c r="K819" s="119"/>
      <c r="L819" s="119"/>
      <c r="M819" s="119"/>
      <c r="N819" s="119"/>
      <c r="O819" s="119"/>
      <c r="P819" s="119"/>
    </row>
    <row r="820" spans="3:16" x14ac:dyDescent="0.2">
      <c r="C820" s="119"/>
      <c r="D820" s="119"/>
      <c r="E820" s="119"/>
      <c r="F820" s="119"/>
      <c r="G820" s="119"/>
      <c r="H820" s="119"/>
      <c r="I820" s="143"/>
      <c r="J820" s="143"/>
      <c r="K820" s="119"/>
      <c r="L820" s="119"/>
      <c r="M820" s="119"/>
      <c r="N820" s="119"/>
      <c r="O820" s="119"/>
      <c r="P820" s="119"/>
    </row>
    <row r="821" spans="3:16" x14ac:dyDescent="0.2">
      <c r="C821" s="119"/>
      <c r="D821" s="119"/>
      <c r="E821" s="119"/>
      <c r="F821" s="119"/>
      <c r="G821" s="119"/>
      <c r="H821" s="119"/>
      <c r="I821" s="143"/>
      <c r="J821" s="143"/>
      <c r="K821" s="119"/>
      <c r="L821" s="119"/>
      <c r="M821" s="119"/>
      <c r="N821" s="119"/>
      <c r="O821" s="119"/>
      <c r="P821" s="119"/>
    </row>
    <row r="822" spans="3:16" x14ac:dyDescent="0.2">
      <c r="C822" s="119"/>
      <c r="D822" s="119"/>
      <c r="E822" s="119"/>
      <c r="F822" s="119"/>
      <c r="G822" s="119"/>
      <c r="H822" s="119"/>
      <c r="I822" s="143"/>
      <c r="J822" s="143"/>
      <c r="K822" s="119"/>
      <c r="L822" s="119"/>
      <c r="M822" s="119"/>
      <c r="N822" s="119"/>
      <c r="O822" s="119"/>
      <c r="P822" s="119"/>
    </row>
    <row r="823" spans="3:16" x14ac:dyDescent="0.2">
      <c r="C823" s="119"/>
      <c r="D823" s="119"/>
      <c r="E823" s="119"/>
      <c r="F823" s="119"/>
      <c r="G823" s="119"/>
      <c r="H823" s="119"/>
      <c r="I823" s="143"/>
      <c r="J823" s="143"/>
      <c r="K823" s="119"/>
      <c r="L823" s="119"/>
      <c r="M823" s="119"/>
      <c r="N823" s="119"/>
      <c r="O823" s="119"/>
      <c r="P823" s="119"/>
    </row>
    <row r="824" spans="3:16" x14ac:dyDescent="0.2">
      <c r="C824" s="119"/>
      <c r="D824" s="119"/>
      <c r="E824" s="119"/>
      <c r="F824" s="119"/>
      <c r="G824" s="119"/>
      <c r="H824" s="119"/>
      <c r="I824" s="143"/>
      <c r="J824" s="143"/>
      <c r="K824" s="119"/>
      <c r="L824" s="119"/>
      <c r="M824" s="119"/>
      <c r="N824" s="119"/>
      <c r="O824" s="119"/>
      <c r="P824" s="119"/>
    </row>
    <row r="825" spans="3:16" x14ac:dyDescent="0.2">
      <c r="C825" s="119"/>
      <c r="D825" s="119"/>
      <c r="E825" s="119"/>
      <c r="F825" s="119"/>
      <c r="G825" s="119"/>
      <c r="H825" s="119"/>
      <c r="I825" s="143"/>
      <c r="J825" s="143"/>
      <c r="K825" s="119"/>
      <c r="L825" s="119"/>
      <c r="M825" s="119"/>
      <c r="N825" s="119"/>
      <c r="O825" s="119"/>
      <c r="P825" s="119"/>
    </row>
    <row r="826" spans="3:16" x14ac:dyDescent="0.2">
      <c r="C826" s="119"/>
      <c r="D826" s="119"/>
      <c r="E826" s="119"/>
      <c r="F826" s="119"/>
      <c r="G826" s="119"/>
      <c r="H826" s="119"/>
      <c r="I826" s="143"/>
      <c r="J826" s="143"/>
      <c r="K826" s="119"/>
      <c r="L826" s="119"/>
      <c r="M826" s="119"/>
      <c r="N826" s="119"/>
      <c r="O826" s="119"/>
      <c r="P826" s="119"/>
    </row>
    <row r="827" spans="3:16" x14ac:dyDescent="0.2">
      <c r="C827" s="119"/>
      <c r="D827" s="119"/>
      <c r="E827" s="119"/>
      <c r="F827" s="119"/>
      <c r="G827" s="119"/>
      <c r="H827" s="119"/>
      <c r="I827" s="143"/>
      <c r="J827" s="143"/>
      <c r="K827" s="119"/>
      <c r="L827" s="119"/>
      <c r="M827" s="119"/>
      <c r="N827" s="119"/>
      <c r="O827" s="119"/>
      <c r="P827" s="119"/>
    </row>
    <row r="828" spans="3:16" x14ac:dyDescent="0.2">
      <c r="C828" s="119"/>
      <c r="D828" s="119"/>
      <c r="E828" s="119"/>
      <c r="F828" s="119"/>
      <c r="G828" s="119"/>
      <c r="H828" s="119"/>
      <c r="I828" s="143"/>
      <c r="J828" s="143"/>
      <c r="K828" s="119"/>
      <c r="L828" s="119"/>
      <c r="M828" s="119"/>
      <c r="N828" s="119"/>
      <c r="O828" s="119"/>
      <c r="P828" s="119"/>
    </row>
    <row r="829" spans="3:16" x14ac:dyDescent="0.2">
      <c r="C829" s="119"/>
      <c r="D829" s="119"/>
      <c r="E829" s="119"/>
      <c r="F829" s="119"/>
      <c r="G829" s="119"/>
      <c r="H829" s="119"/>
      <c r="I829" s="143"/>
      <c r="J829" s="143"/>
      <c r="K829" s="119"/>
      <c r="L829" s="119"/>
      <c r="M829" s="119"/>
      <c r="N829" s="119"/>
      <c r="O829" s="119"/>
      <c r="P829" s="119"/>
    </row>
    <row r="830" spans="3:16" x14ac:dyDescent="0.2">
      <c r="C830" s="119"/>
      <c r="D830" s="119"/>
      <c r="E830" s="119"/>
      <c r="F830" s="119"/>
      <c r="G830" s="119"/>
      <c r="H830" s="119"/>
      <c r="I830" s="143"/>
      <c r="J830" s="143"/>
      <c r="K830" s="119"/>
      <c r="L830" s="119"/>
      <c r="M830" s="119"/>
      <c r="N830" s="119"/>
      <c r="O830" s="119"/>
      <c r="P830" s="119"/>
    </row>
    <row r="831" spans="3:16" x14ac:dyDescent="0.2">
      <c r="C831" s="119"/>
      <c r="D831" s="119"/>
      <c r="E831" s="119"/>
      <c r="F831" s="119"/>
      <c r="G831" s="119"/>
      <c r="H831" s="119"/>
      <c r="I831" s="143"/>
      <c r="J831" s="143"/>
      <c r="K831" s="119"/>
      <c r="L831" s="119"/>
      <c r="M831" s="119"/>
      <c r="N831" s="119"/>
      <c r="O831" s="119"/>
      <c r="P831" s="119"/>
    </row>
    <row r="832" spans="3:16" x14ac:dyDescent="0.2">
      <c r="C832" s="119"/>
      <c r="D832" s="119"/>
      <c r="E832" s="119"/>
      <c r="F832" s="119"/>
      <c r="G832" s="119"/>
      <c r="H832" s="119"/>
      <c r="I832" s="143"/>
      <c r="J832" s="143"/>
      <c r="K832" s="119"/>
      <c r="L832" s="119"/>
      <c r="M832" s="119"/>
      <c r="N832" s="119"/>
      <c r="O832" s="119"/>
      <c r="P832" s="119"/>
    </row>
    <row r="833" spans="3:16" x14ac:dyDescent="0.2">
      <c r="C833" s="119"/>
      <c r="D833" s="119"/>
      <c r="E833" s="119"/>
      <c r="F833" s="119"/>
      <c r="G833" s="119"/>
      <c r="H833" s="119"/>
      <c r="I833" s="143"/>
      <c r="J833" s="143"/>
      <c r="K833" s="119"/>
      <c r="L833" s="119"/>
      <c r="M833" s="119"/>
      <c r="N833" s="119"/>
      <c r="O833" s="119"/>
      <c r="P833" s="119"/>
    </row>
    <row r="834" spans="3:16" x14ac:dyDescent="0.2">
      <c r="C834" s="119"/>
      <c r="D834" s="119"/>
      <c r="E834" s="119"/>
      <c r="F834" s="119"/>
      <c r="G834" s="119"/>
      <c r="H834" s="119"/>
      <c r="I834" s="143"/>
      <c r="J834" s="143"/>
      <c r="K834" s="119"/>
      <c r="L834" s="119"/>
      <c r="M834" s="119"/>
      <c r="N834" s="119"/>
      <c r="O834" s="119"/>
      <c r="P834" s="119"/>
    </row>
    <row r="835" spans="3:16" x14ac:dyDescent="0.2">
      <c r="C835" s="119"/>
      <c r="D835" s="119"/>
      <c r="E835" s="119"/>
      <c r="F835" s="119"/>
      <c r="G835" s="119"/>
      <c r="H835" s="119"/>
      <c r="I835" s="143"/>
      <c r="J835" s="143"/>
      <c r="K835" s="119"/>
      <c r="L835" s="119"/>
      <c r="M835" s="119"/>
      <c r="N835" s="119"/>
      <c r="O835" s="119"/>
      <c r="P835" s="119"/>
    </row>
    <row r="836" spans="3:16" x14ac:dyDescent="0.2">
      <c r="C836" s="119"/>
      <c r="D836" s="119"/>
      <c r="E836" s="119"/>
      <c r="F836" s="119"/>
      <c r="G836" s="119"/>
      <c r="H836" s="119"/>
      <c r="I836" s="143"/>
      <c r="J836" s="143"/>
      <c r="K836" s="119"/>
      <c r="L836" s="119"/>
      <c r="M836" s="119"/>
      <c r="N836" s="119"/>
      <c r="O836" s="119"/>
      <c r="P836" s="119"/>
    </row>
    <row r="837" spans="3:16" x14ac:dyDescent="0.2">
      <c r="C837" s="119"/>
      <c r="D837" s="119"/>
      <c r="E837" s="119"/>
      <c r="F837" s="119"/>
      <c r="G837" s="119"/>
      <c r="H837" s="119"/>
      <c r="I837" s="143"/>
      <c r="J837" s="143"/>
      <c r="K837" s="119"/>
      <c r="L837" s="119"/>
      <c r="M837" s="119"/>
      <c r="N837" s="119"/>
      <c r="O837" s="119"/>
      <c r="P837" s="119"/>
    </row>
    <row r="838" spans="3:16" x14ac:dyDescent="0.2">
      <c r="C838" s="119"/>
      <c r="D838" s="119"/>
      <c r="E838" s="119"/>
      <c r="F838" s="119"/>
      <c r="G838" s="119"/>
      <c r="H838" s="119"/>
      <c r="I838" s="143"/>
      <c r="J838" s="143"/>
      <c r="K838" s="119"/>
      <c r="L838" s="119"/>
      <c r="M838" s="119"/>
      <c r="N838" s="119"/>
      <c r="O838" s="119"/>
      <c r="P838" s="119"/>
    </row>
    <row r="839" spans="3:16" x14ac:dyDescent="0.2">
      <c r="C839" s="119"/>
      <c r="D839" s="119"/>
      <c r="E839" s="119"/>
      <c r="F839" s="119"/>
      <c r="G839" s="119"/>
      <c r="H839" s="119"/>
      <c r="I839" s="143"/>
      <c r="J839" s="143"/>
      <c r="K839" s="119"/>
      <c r="L839" s="119"/>
      <c r="M839" s="119"/>
      <c r="N839" s="119"/>
      <c r="O839" s="119"/>
      <c r="P839" s="119"/>
    </row>
    <row r="840" spans="3:16" x14ac:dyDescent="0.2">
      <c r="C840" s="119"/>
      <c r="D840" s="119"/>
      <c r="E840" s="119"/>
      <c r="F840" s="119"/>
      <c r="G840" s="119"/>
      <c r="H840" s="119"/>
      <c r="I840" s="143"/>
      <c r="J840" s="143"/>
      <c r="K840" s="119"/>
      <c r="L840" s="119"/>
      <c r="M840" s="119"/>
      <c r="N840" s="119"/>
      <c r="O840" s="119"/>
      <c r="P840" s="119"/>
    </row>
    <row r="841" spans="3:16" x14ac:dyDescent="0.2">
      <c r="C841" s="119"/>
      <c r="D841" s="119"/>
      <c r="E841" s="119"/>
      <c r="F841" s="119"/>
      <c r="G841" s="119"/>
      <c r="H841" s="119"/>
      <c r="I841" s="143"/>
      <c r="J841" s="143"/>
      <c r="K841" s="119"/>
      <c r="L841" s="119"/>
      <c r="M841" s="119"/>
      <c r="N841" s="119"/>
      <c r="O841" s="119"/>
      <c r="P841" s="119"/>
    </row>
    <row r="842" spans="3:16" x14ac:dyDescent="0.2">
      <c r="C842" s="119"/>
      <c r="D842" s="119"/>
      <c r="E842" s="119"/>
      <c r="F842" s="119"/>
      <c r="G842" s="119"/>
      <c r="H842" s="119"/>
      <c r="I842" s="143"/>
      <c r="J842" s="143"/>
      <c r="K842" s="119"/>
      <c r="L842" s="119"/>
      <c r="M842" s="119"/>
      <c r="N842" s="119"/>
      <c r="O842" s="119"/>
      <c r="P842" s="119"/>
    </row>
    <row r="843" spans="3:16" x14ac:dyDescent="0.2">
      <c r="C843" s="119"/>
      <c r="D843" s="119"/>
      <c r="E843" s="119"/>
      <c r="F843" s="119"/>
      <c r="G843" s="119"/>
      <c r="H843" s="119"/>
      <c r="I843" s="143"/>
      <c r="J843" s="143"/>
      <c r="K843" s="119"/>
      <c r="L843" s="119"/>
      <c r="M843" s="119"/>
      <c r="N843" s="119"/>
      <c r="O843" s="119"/>
      <c r="P843" s="119"/>
    </row>
    <row r="844" spans="3:16" x14ac:dyDescent="0.2">
      <c r="C844" s="119"/>
      <c r="D844" s="119"/>
      <c r="E844" s="119"/>
      <c r="F844" s="119"/>
      <c r="G844" s="119"/>
      <c r="H844" s="119"/>
      <c r="I844" s="143"/>
      <c r="J844" s="143"/>
      <c r="K844" s="119"/>
      <c r="L844" s="119"/>
      <c r="M844" s="119"/>
      <c r="N844" s="119"/>
      <c r="O844" s="119"/>
      <c r="P844" s="119"/>
    </row>
    <row r="845" spans="3:16" x14ac:dyDescent="0.2">
      <c r="C845" s="119"/>
      <c r="D845" s="119"/>
      <c r="E845" s="119"/>
      <c r="F845" s="119"/>
      <c r="G845" s="119"/>
      <c r="H845" s="119"/>
      <c r="I845" s="143"/>
      <c r="J845" s="143"/>
      <c r="K845" s="119"/>
      <c r="L845" s="119"/>
      <c r="M845" s="119"/>
      <c r="N845" s="119"/>
      <c r="O845" s="119"/>
      <c r="P845" s="119"/>
    </row>
    <row r="846" spans="3:16" x14ac:dyDescent="0.2">
      <c r="C846" s="119"/>
      <c r="D846" s="119"/>
      <c r="E846" s="119"/>
      <c r="F846" s="119"/>
      <c r="G846" s="119"/>
      <c r="H846" s="119"/>
      <c r="I846" s="143"/>
      <c r="J846" s="143"/>
      <c r="K846" s="119"/>
      <c r="L846" s="119"/>
      <c r="M846" s="119"/>
      <c r="N846" s="119"/>
      <c r="O846" s="119"/>
      <c r="P846" s="119"/>
    </row>
    <row r="847" spans="3:16" x14ac:dyDescent="0.2">
      <c r="C847" s="119"/>
      <c r="D847" s="119"/>
      <c r="E847" s="119"/>
      <c r="F847" s="119"/>
      <c r="G847" s="119"/>
      <c r="H847" s="119"/>
      <c r="I847" s="143"/>
      <c r="J847" s="143"/>
      <c r="K847" s="119"/>
      <c r="L847" s="119"/>
      <c r="M847" s="119"/>
      <c r="N847" s="119"/>
      <c r="O847" s="119"/>
      <c r="P847" s="119"/>
    </row>
    <row r="848" spans="3:16" x14ac:dyDescent="0.2">
      <c r="C848" s="119"/>
      <c r="D848" s="119"/>
      <c r="E848" s="119"/>
      <c r="F848" s="119"/>
      <c r="G848" s="119"/>
      <c r="H848" s="119"/>
      <c r="I848" s="143"/>
      <c r="J848" s="143"/>
      <c r="K848" s="119"/>
      <c r="L848" s="119"/>
      <c r="M848" s="119"/>
      <c r="N848" s="119"/>
      <c r="O848" s="119"/>
      <c r="P848" s="119"/>
    </row>
    <row r="849" spans="3:16" x14ac:dyDescent="0.2">
      <c r="C849" s="119"/>
      <c r="D849" s="119"/>
      <c r="E849" s="119"/>
      <c r="F849" s="119"/>
      <c r="G849" s="119"/>
      <c r="H849" s="119"/>
      <c r="I849" s="143"/>
      <c r="J849" s="143"/>
      <c r="K849" s="119"/>
      <c r="L849" s="119"/>
      <c r="M849" s="119"/>
      <c r="N849" s="119"/>
      <c r="O849" s="119"/>
      <c r="P849" s="119"/>
    </row>
    <row r="850" spans="3:16" x14ac:dyDescent="0.2">
      <c r="C850" s="119"/>
      <c r="D850" s="119"/>
      <c r="E850" s="119"/>
      <c r="F850" s="119"/>
      <c r="G850" s="119"/>
      <c r="H850" s="119"/>
      <c r="I850" s="143"/>
      <c r="J850" s="143"/>
      <c r="K850" s="119"/>
      <c r="L850" s="119"/>
      <c r="M850" s="119"/>
      <c r="N850" s="119"/>
      <c r="O850" s="119"/>
      <c r="P850" s="119"/>
    </row>
    <row r="851" spans="3:16" x14ac:dyDescent="0.2">
      <c r="C851" s="119"/>
      <c r="D851" s="119"/>
      <c r="E851" s="119"/>
      <c r="F851" s="119"/>
      <c r="G851" s="119"/>
      <c r="H851" s="119"/>
      <c r="I851" s="143"/>
      <c r="J851" s="143"/>
      <c r="K851" s="119"/>
      <c r="L851" s="119"/>
      <c r="M851" s="119"/>
      <c r="N851" s="119"/>
      <c r="O851" s="119"/>
      <c r="P851" s="119"/>
    </row>
    <row r="852" spans="3:16" x14ac:dyDescent="0.2">
      <c r="C852" s="119"/>
      <c r="D852" s="119"/>
      <c r="E852" s="119"/>
      <c r="F852" s="119"/>
      <c r="G852" s="119"/>
      <c r="H852" s="119"/>
      <c r="I852" s="143"/>
      <c r="J852" s="143"/>
      <c r="K852" s="119"/>
      <c r="L852" s="119"/>
      <c r="M852" s="119"/>
      <c r="N852" s="119"/>
      <c r="O852" s="119"/>
      <c r="P852" s="119"/>
    </row>
    <row r="853" spans="3:16" x14ac:dyDescent="0.2">
      <c r="C853" s="119"/>
      <c r="D853" s="119"/>
      <c r="E853" s="119"/>
      <c r="F853" s="119"/>
      <c r="G853" s="119"/>
      <c r="H853" s="119"/>
      <c r="I853" s="143"/>
      <c r="J853" s="143"/>
      <c r="K853" s="119"/>
      <c r="L853" s="119"/>
      <c r="M853" s="119"/>
      <c r="N853" s="119"/>
      <c r="O853" s="119"/>
      <c r="P853" s="119"/>
    </row>
    <row r="854" spans="3:16" x14ac:dyDescent="0.2">
      <c r="C854" s="119"/>
      <c r="D854" s="119"/>
      <c r="E854" s="119"/>
      <c r="F854" s="119"/>
      <c r="G854" s="119"/>
      <c r="H854" s="119"/>
      <c r="I854" s="143"/>
      <c r="J854" s="143"/>
      <c r="K854" s="119"/>
      <c r="L854" s="119"/>
      <c r="M854" s="119"/>
      <c r="N854" s="119"/>
      <c r="O854" s="119"/>
      <c r="P854" s="119"/>
    </row>
    <row r="855" spans="3:16" x14ac:dyDescent="0.2">
      <c r="C855" s="119"/>
      <c r="D855" s="119"/>
      <c r="E855" s="119"/>
      <c r="F855" s="119"/>
      <c r="G855" s="119"/>
      <c r="H855" s="119"/>
      <c r="I855" s="143"/>
      <c r="J855" s="143"/>
      <c r="K855" s="119"/>
      <c r="L855" s="119"/>
      <c r="M855" s="119"/>
      <c r="N855" s="119"/>
      <c r="O855" s="119"/>
      <c r="P855" s="119"/>
    </row>
    <row r="856" spans="3:16" x14ac:dyDescent="0.2">
      <c r="C856" s="119"/>
      <c r="D856" s="119"/>
      <c r="E856" s="119"/>
      <c r="F856" s="119"/>
      <c r="G856" s="119"/>
      <c r="H856" s="119"/>
      <c r="I856" s="143"/>
      <c r="J856" s="143"/>
      <c r="K856" s="119"/>
      <c r="L856" s="119"/>
      <c r="M856" s="119"/>
      <c r="N856" s="119"/>
      <c r="O856" s="119"/>
      <c r="P856" s="119"/>
    </row>
    <row r="857" spans="3:16" x14ac:dyDescent="0.2">
      <c r="C857" s="119"/>
      <c r="D857" s="119"/>
      <c r="E857" s="119"/>
      <c r="F857" s="119"/>
      <c r="G857" s="119"/>
      <c r="H857" s="119"/>
      <c r="I857" s="143"/>
      <c r="J857" s="143"/>
      <c r="K857" s="119"/>
      <c r="L857" s="119"/>
      <c r="M857" s="119"/>
      <c r="N857" s="119"/>
      <c r="O857" s="119"/>
      <c r="P857" s="119"/>
    </row>
    <row r="858" spans="3:16" x14ac:dyDescent="0.2">
      <c r="C858" s="119"/>
      <c r="D858" s="119"/>
      <c r="E858" s="119"/>
      <c r="F858" s="119"/>
      <c r="G858" s="119"/>
      <c r="H858" s="119"/>
      <c r="I858" s="143"/>
      <c r="J858" s="143"/>
      <c r="K858" s="119"/>
      <c r="L858" s="119"/>
      <c r="M858" s="119"/>
      <c r="N858" s="119"/>
      <c r="O858" s="119"/>
      <c r="P858" s="119"/>
    </row>
    <row r="859" spans="3:16" x14ac:dyDescent="0.2">
      <c r="C859" s="119"/>
      <c r="D859" s="119"/>
      <c r="E859" s="119"/>
      <c r="F859" s="119"/>
      <c r="G859" s="119"/>
      <c r="H859" s="119"/>
      <c r="I859" s="143"/>
      <c r="J859" s="143"/>
      <c r="K859" s="119"/>
      <c r="L859" s="119"/>
      <c r="M859" s="119"/>
      <c r="N859" s="119"/>
      <c r="O859" s="119"/>
      <c r="P859" s="119"/>
    </row>
    <row r="860" spans="3:16" x14ac:dyDescent="0.2">
      <c r="C860" s="119"/>
      <c r="D860" s="119"/>
      <c r="E860" s="119"/>
      <c r="F860" s="119"/>
      <c r="G860" s="119"/>
      <c r="H860" s="119"/>
      <c r="I860" s="143"/>
      <c r="J860" s="143"/>
      <c r="K860" s="119"/>
      <c r="L860" s="119"/>
      <c r="M860" s="119"/>
      <c r="N860" s="119"/>
      <c r="O860" s="119"/>
      <c r="P860" s="119"/>
    </row>
    <row r="861" spans="3:16" x14ac:dyDescent="0.2">
      <c r="C861" s="119"/>
      <c r="D861" s="119"/>
      <c r="E861" s="119"/>
      <c r="F861" s="119"/>
      <c r="G861" s="119"/>
      <c r="H861" s="119"/>
      <c r="I861" s="143"/>
      <c r="J861" s="143"/>
      <c r="K861" s="119"/>
      <c r="L861" s="119"/>
      <c r="M861" s="119"/>
      <c r="N861" s="119"/>
      <c r="O861" s="119"/>
      <c r="P861" s="119"/>
    </row>
    <row r="862" spans="3:16" x14ac:dyDescent="0.2">
      <c r="C862" s="119"/>
      <c r="D862" s="119"/>
      <c r="E862" s="119"/>
      <c r="F862" s="119"/>
      <c r="G862" s="119"/>
      <c r="H862" s="119"/>
      <c r="I862" s="143"/>
      <c r="J862" s="143"/>
      <c r="K862" s="119"/>
      <c r="L862" s="119"/>
      <c r="M862" s="119"/>
      <c r="N862" s="119"/>
      <c r="O862" s="119"/>
      <c r="P862" s="119"/>
    </row>
    <row r="863" spans="3:16" x14ac:dyDescent="0.2">
      <c r="C863" s="119"/>
      <c r="D863" s="119"/>
      <c r="E863" s="119"/>
      <c r="F863" s="119"/>
      <c r="G863" s="119"/>
      <c r="H863" s="119"/>
      <c r="I863" s="143"/>
      <c r="J863" s="143"/>
      <c r="K863" s="119"/>
      <c r="L863" s="119"/>
      <c r="M863" s="119"/>
      <c r="N863" s="119"/>
      <c r="O863" s="119"/>
      <c r="P863" s="119"/>
    </row>
    <row r="864" spans="3:16" x14ac:dyDescent="0.2">
      <c r="C864" s="119"/>
      <c r="D864" s="119"/>
      <c r="E864" s="119"/>
      <c r="F864" s="119"/>
      <c r="G864" s="119"/>
      <c r="H864" s="119"/>
      <c r="I864" s="143"/>
      <c r="J864" s="143"/>
      <c r="K864" s="119"/>
      <c r="L864" s="119"/>
      <c r="M864" s="119"/>
      <c r="N864" s="119"/>
      <c r="O864" s="119"/>
      <c r="P864" s="119"/>
    </row>
    <row r="865" spans="3:16" x14ac:dyDescent="0.2">
      <c r="C865" s="119"/>
      <c r="D865" s="119"/>
      <c r="E865" s="119"/>
      <c r="F865" s="119"/>
      <c r="G865" s="119"/>
      <c r="H865" s="119"/>
      <c r="I865" s="143"/>
      <c r="J865" s="143"/>
      <c r="K865" s="119"/>
      <c r="L865" s="119"/>
      <c r="M865" s="119"/>
      <c r="N865" s="119"/>
      <c r="O865" s="119"/>
      <c r="P865" s="119"/>
    </row>
    <row r="866" spans="3:16" x14ac:dyDescent="0.2">
      <c r="C866" s="119"/>
      <c r="D866" s="119"/>
      <c r="E866" s="119"/>
      <c r="F866" s="119"/>
      <c r="G866" s="119"/>
      <c r="H866" s="119"/>
      <c r="I866" s="143"/>
      <c r="J866" s="143"/>
      <c r="K866" s="119"/>
      <c r="L866" s="119"/>
      <c r="M866" s="119"/>
      <c r="N866" s="119"/>
      <c r="O866" s="119"/>
      <c r="P866" s="119"/>
    </row>
    <row r="867" spans="3:16" x14ac:dyDescent="0.2">
      <c r="C867" s="119"/>
      <c r="D867" s="119"/>
      <c r="E867" s="119"/>
      <c r="F867" s="119"/>
      <c r="G867" s="119"/>
      <c r="H867" s="119"/>
      <c r="I867" s="143"/>
      <c r="J867" s="143"/>
      <c r="K867" s="119"/>
      <c r="L867" s="119"/>
      <c r="M867" s="119"/>
      <c r="N867" s="119"/>
      <c r="O867" s="119"/>
      <c r="P867" s="119"/>
    </row>
    <row r="868" spans="3:16" x14ac:dyDescent="0.2">
      <c r="C868" s="119"/>
      <c r="D868" s="119"/>
      <c r="E868" s="119"/>
      <c r="F868" s="119"/>
      <c r="G868" s="119"/>
      <c r="H868" s="119"/>
      <c r="I868" s="143"/>
      <c r="J868" s="143"/>
      <c r="K868" s="119"/>
      <c r="L868" s="119"/>
      <c r="M868" s="119"/>
      <c r="N868" s="119"/>
      <c r="O868" s="119"/>
      <c r="P868" s="119"/>
    </row>
    <row r="869" spans="3:16" x14ac:dyDescent="0.2">
      <c r="C869" s="119"/>
      <c r="D869" s="119"/>
      <c r="E869" s="119"/>
      <c r="F869" s="119"/>
      <c r="G869" s="119"/>
      <c r="H869" s="119"/>
      <c r="I869" s="143"/>
      <c r="J869" s="143"/>
      <c r="K869" s="119"/>
      <c r="L869" s="119"/>
      <c r="M869" s="119"/>
      <c r="N869" s="119"/>
      <c r="O869" s="119"/>
      <c r="P869" s="119"/>
    </row>
    <row r="870" spans="3:16" x14ac:dyDescent="0.2">
      <c r="C870" s="119"/>
      <c r="D870" s="119"/>
      <c r="E870" s="119"/>
      <c r="F870" s="119"/>
      <c r="G870" s="119"/>
      <c r="H870" s="119"/>
      <c r="I870" s="143"/>
      <c r="J870" s="143"/>
      <c r="K870" s="119"/>
      <c r="L870" s="119"/>
      <c r="M870" s="119"/>
      <c r="N870" s="119"/>
      <c r="O870" s="119"/>
      <c r="P870" s="119"/>
    </row>
    <row r="871" spans="3:16" x14ac:dyDescent="0.2">
      <c r="C871" s="119"/>
      <c r="D871" s="119"/>
      <c r="E871" s="119"/>
      <c r="F871" s="119"/>
      <c r="G871" s="119"/>
      <c r="H871" s="119"/>
      <c r="I871" s="143"/>
      <c r="J871" s="143"/>
      <c r="K871" s="119"/>
      <c r="L871" s="119"/>
      <c r="M871" s="119"/>
      <c r="N871" s="119"/>
      <c r="O871" s="119"/>
      <c r="P871" s="119"/>
    </row>
    <row r="872" spans="3:16" x14ac:dyDescent="0.2">
      <c r="C872" s="119"/>
      <c r="D872" s="119"/>
      <c r="E872" s="119"/>
      <c r="F872" s="119"/>
      <c r="G872" s="119"/>
      <c r="H872" s="119"/>
      <c r="I872" s="143"/>
      <c r="J872" s="143"/>
      <c r="K872" s="119"/>
      <c r="L872" s="119"/>
      <c r="M872" s="119"/>
      <c r="N872" s="119"/>
      <c r="O872" s="119"/>
      <c r="P872" s="119"/>
    </row>
    <row r="873" spans="3:16" x14ac:dyDescent="0.2">
      <c r="C873" s="119"/>
      <c r="D873" s="119"/>
      <c r="E873" s="119"/>
      <c r="F873" s="119"/>
      <c r="G873" s="119"/>
      <c r="H873" s="119"/>
      <c r="I873" s="143"/>
      <c r="J873" s="143"/>
      <c r="K873" s="119"/>
      <c r="L873" s="119"/>
      <c r="M873" s="119"/>
      <c r="N873" s="119"/>
      <c r="O873" s="119"/>
      <c r="P873" s="119"/>
    </row>
    <row r="874" spans="3:16" x14ac:dyDescent="0.2">
      <c r="C874" s="119"/>
      <c r="D874" s="119"/>
      <c r="E874" s="119"/>
      <c r="F874" s="119"/>
      <c r="G874" s="119"/>
      <c r="H874" s="119"/>
      <c r="I874" s="143"/>
      <c r="J874" s="143"/>
      <c r="K874" s="119"/>
      <c r="L874" s="119"/>
      <c r="M874" s="119"/>
      <c r="N874" s="119"/>
      <c r="O874" s="119"/>
      <c r="P874" s="119"/>
    </row>
    <row r="875" spans="3:16" x14ac:dyDescent="0.2">
      <c r="C875" s="119"/>
      <c r="D875" s="119"/>
      <c r="E875" s="119"/>
      <c r="F875" s="119"/>
      <c r="G875" s="119"/>
      <c r="H875" s="119"/>
      <c r="I875" s="143"/>
      <c r="J875" s="143"/>
      <c r="K875" s="119"/>
      <c r="L875" s="119"/>
      <c r="M875" s="119"/>
      <c r="N875" s="119"/>
      <c r="O875" s="119"/>
      <c r="P875" s="119"/>
    </row>
    <row r="876" spans="3:16" x14ac:dyDescent="0.2">
      <c r="C876" s="119"/>
      <c r="D876" s="119"/>
      <c r="E876" s="119"/>
      <c r="F876" s="119"/>
      <c r="G876" s="119"/>
      <c r="H876" s="119"/>
      <c r="I876" s="143"/>
      <c r="J876" s="143"/>
      <c r="K876" s="119"/>
      <c r="L876" s="119"/>
      <c r="M876" s="119"/>
      <c r="N876" s="119"/>
      <c r="O876" s="119"/>
      <c r="P876" s="119"/>
    </row>
    <row r="877" spans="3:16" x14ac:dyDescent="0.2">
      <c r="C877" s="119"/>
      <c r="D877" s="119"/>
      <c r="E877" s="119"/>
      <c r="F877" s="119"/>
      <c r="G877" s="119"/>
      <c r="H877" s="119"/>
      <c r="I877" s="143"/>
      <c r="J877" s="143"/>
      <c r="K877" s="119"/>
      <c r="L877" s="119"/>
      <c r="M877" s="119"/>
      <c r="N877" s="119"/>
      <c r="O877" s="119"/>
      <c r="P877" s="119"/>
    </row>
    <row r="878" spans="3:16" x14ac:dyDescent="0.2">
      <c r="C878" s="119"/>
      <c r="D878" s="119"/>
      <c r="E878" s="119"/>
      <c r="F878" s="119"/>
      <c r="G878" s="119"/>
      <c r="H878" s="119"/>
      <c r="I878" s="143"/>
      <c r="J878" s="143"/>
      <c r="K878" s="119"/>
      <c r="L878" s="119"/>
      <c r="M878" s="119"/>
      <c r="N878" s="119"/>
      <c r="O878" s="119"/>
      <c r="P878" s="119"/>
    </row>
    <row r="879" spans="3:16" x14ac:dyDescent="0.2">
      <c r="C879" s="119"/>
      <c r="D879" s="119"/>
      <c r="E879" s="119"/>
      <c r="F879" s="119"/>
      <c r="G879" s="119"/>
      <c r="H879" s="119"/>
      <c r="I879" s="143"/>
      <c r="J879" s="143"/>
      <c r="K879" s="119"/>
      <c r="L879" s="119"/>
      <c r="M879" s="119"/>
      <c r="N879" s="119"/>
      <c r="O879" s="119"/>
      <c r="P879" s="119"/>
    </row>
    <row r="880" spans="3:16" x14ac:dyDescent="0.2">
      <c r="C880" s="119"/>
      <c r="D880" s="119"/>
      <c r="E880" s="119"/>
      <c r="F880" s="119"/>
      <c r="G880" s="119"/>
      <c r="H880" s="119"/>
      <c r="I880" s="143"/>
      <c r="J880" s="143"/>
      <c r="K880" s="119"/>
      <c r="L880" s="119"/>
      <c r="M880" s="119"/>
      <c r="N880" s="119"/>
      <c r="O880" s="119"/>
      <c r="P880" s="119"/>
    </row>
    <row r="881" spans="3:16" x14ac:dyDescent="0.2">
      <c r="C881" s="119"/>
      <c r="D881" s="119"/>
      <c r="E881" s="119"/>
      <c r="F881" s="119"/>
      <c r="G881" s="119"/>
      <c r="H881" s="119"/>
      <c r="I881" s="143"/>
      <c r="J881" s="143"/>
      <c r="K881" s="119"/>
      <c r="L881" s="119"/>
      <c r="M881" s="119"/>
      <c r="N881" s="119"/>
      <c r="O881" s="119"/>
      <c r="P881" s="119"/>
    </row>
    <row r="882" spans="3:16" x14ac:dyDescent="0.2">
      <c r="C882" s="119"/>
      <c r="D882" s="119"/>
      <c r="E882" s="119"/>
      <c r="F882" s="119"/>
      <c r="G882" s="119"/>
      <c r="H882" s="119"/>
      <c r="I882" s="143"/>
      <c r="J882" s="143"/>
      <c r="K882" s="119"/>
      <c r="L882" s="119"/>
      <c r="M882" s="119"/>
      <c r="N882" s="119"/>
      <c r="O882" s="119"/>
      <c r="P882" s="119"/>
    </row>
    <row r="883" spans="3:16" x14ac:dyDescent="0.2">
      <c r="C883" s="119"/>
      <c r="D883" s="119"/>
      <c r="E883" s="119"/>
      <c r="F883" s="119"/>
      <c r="G883" s="119"/>
      <c r="H883" s="119"/>
      <c r="I883" s="143"/>
      <c r="J883" s="143"/>
      <c r="K883" s="119"/>
      <c r="L883" s="119"/>
      <c r="M883" s="119"/>
      <c r="N883" s="119"/>
      <c r="O883" s="119"/>
      <c r="P883" s="119"/>
    </row>
    <row r="884" spans="3:16" x14ac:dyDescent="0.2">
      <c r="C884" s="119"/>
      <c r="D884" s="119"/>
      <c r="E884" s="119"/>
      <c r="F884" s="119"/>
      <c r="G884" s="119"/>
      <c r="H884" s="119"/>
      <c r="I884" s="143"/>
      <c r="J884" s="143"/>
      <c r="K884" s="119"/>
      <c r="L884" s="119"/>
      <c r="M884" s="119"/>
      <c r="N884" s="119"/>
      <c r="O884" s="119"/>
      <c r="P884" s="119"/>
    </row>
    <row r="885" spans="3:16" x14ac:dyDescent="0.2">
      <c r="C885" s="119"/>
      <c r="D885" s="119"/>
      <c r="E885" s="119"/>
      <c r="F885" s="119"/>
      <c r="G885" s="119"/>
      <c r="H885" s="119"/>
      <c r="I885" s="143"/>
      <c r="J885" s="143"/>
      <c r="K885" s="119"/>
      <c r="L885" s="119"/>
      <c r="M885" s="119"/>
      <c r="N885" s="119"/>
      <c r="O885" s="119"/>
      <c r="P885" s="119"/>
    </row>
    <row r="886" spans="3:16" x14ac:dyDescent="0.2">
      <c r="C886" s="119"/>
      <c r="D886" s="119"/>
      <c r="E886" s="119"/>
      <c r="F886" s="119"/>
      <c r="G886" s="119"/>
      <c r="H886" s="119"/>
      <c r="I886" s="143"/>
      <c r="J886" s="143"/>
      <c r="K886" s="119"/>
      <c r="L886" s="119"/>
      <c r="M886" s="119"/>
      <c r="N886" s="119"/>
      <c r="O886" s="119"/>
      <c r="P886" s="119"/>
    </row>
    <row r="887" spans="3:16" x14ac:dyDescent="0.2">
      <c r="C887" s="119"/>
      <c r="D887" s="119"/>
      <c r="E887" s="119"/>
      <c r="F887" s="119"/>
      <c r="G887" s="119"/>
      <c r="H887" s="119"/>
      <c r="I887" s="143"/>
      <c r="J887" s="143"/>
      <c r="K887" s="119"/>
      <c r="L887" s="119"/>
      <c r="M887" s="119"/>
      <c r="N887" s="119"/>
      <c r="O887" s="119"/>
      <c r="P887" s="119"/>
    </row>
    <row r="888" spans="3:16" x14ac:dyDescent="0.2">
      <c r="C888" s="119"/>
      <c r="D888" s="119"/>
      <c r="E888" s="119"/>
      <c r="F888" s="119"/>
      <c r="G888" s="119"/>
      <c r="H888" s="119"/>
      <c r="I888" s="143"/>
      <c r="J888" s="143"/>
      <c r="K888" s="119"/>
      <c r="L888" s="119"/>
      <c r="M888" s="119"/>
      <c r="N888" s="119"/>
      <c r="O888" s="119"/>
      <c r="P888" s="119"/>
    </row>
    <row r="889" spans="3:16" x14ac:dyDescent="0.2">
      <c r="C889" s="119"/>
      <c r="D889" s="119"/>
      <c r="E889" s="119"/>
      <c r="F889" s="119"/>
      <c r="G889" s="119"/>
      <c r="H889" s="119"/>
      <c r="I889" s="143"/>
      <c r="J889" s="143"/>
      <c r="K889" s="119"/>
      <c r="L889" s="119"/>
      <c r="M889" s="119"/>
      <c r="N889" s="119"/>
      <c r="O889" s="119"/>
      <c r="P889" s="119"/>
    </row>
    <row r="890" spans="3:16" x14ac:dyDescent="0.2">
      <c r="C890" s="119"/>
      <c r="D890" s="119"/>
      <c r="E890" s="119"/>
      <c r="F890" s="119"/>
      <c r="G890" s="119"/>
      <c r="H890" s="119"/>
      <c r="I890" s="143"/>
      <c r="J890" s="143"/>
      <c r="K890" s="119"/>
      <c r="L890" s="119"/>
      <c r="M890" s="119"/>
      <c r="N890" s="119"/>
      <c r="O890" s="119"/>
      <c r="P890" s="119"/>
    </row>
    <row r="891" spans="3:16" x14ac:dyDescent="0.2">
      <c r="C891" s="119"/>
      <c r="D891" s="119"/>
      <c r="E891" s="119"/>
      <c r="F891" s="119"/>
      <c r="G891" s="119"/>
      <c r="H891" s="119"/>
      <c r="I891" s="143"/>
      <c r="J891" s="143"/>
      <c r="K891" s="119"/>
      <c r="L891" s="119"/>
      <c r="M891" s="119"/>
      <c r="N891" s="119"/>
      <c r="O891" s="119"/>
      <c r="P891" s="119"/>
    </row>
    <row r="892" spans="3:16" x14ac:dyDescent="0.2">
      <c r="C892" s="119"/>
      <c r="D892" s="119"/>
      <c r="E892" s="119"/>
      <c r="F892" s="119"/>
      <c r="G892" s="119"/>
      <c r="H892" s="119"/>
      <c r="I892" s="143"/>
      <c r="J892" s="143"/>
      <c r="K892" s="119"/>
      <c r="L892" s="119"/>
      <c r="M892" s="119"/>
      <c r="N892" s="119"/>
      <c r="O892" s="119"/>
      <c r="P892" s="119"/>
    </row>
    <row r="893" spans="3:16" x14ac:dyDescent="0.2">
      <c r="C893" s="119"/>
      <c r="D893" s="119"/>
      <c r="E893" s="119"/>
      <c r="F893" s="119"/>
      <c r="G893" s="119"/>
      <c r="H893" s="119"/>
      <c r="I893" s="143"/>
      <c r="J893" s="143"/>
      <c r="K893" s="119"/>
      <c r="L893" s="119"/>
      <c r="M893" s="119"/>
      <c r="N893" s="119"/>
      <c r="O893" s="119"/>
      <c r="P893" s="119"/>
    </row>
    <row r="894" spans="3:16" x14ac:dyDescent="0.2">
      <c r="C894" s="119"/>
      <c r="D894" s="119"/>
      <c r="E894" s="119"/>
      <c r="F894" s="119"/>
      <c r="G894" s="119"/>
      <c r="H894" s="119"/>
      <c r="I894" s="143"/>
      <c r="J894" s="143"/>
      <c r="K894" s="119"/>
      <c r="L894" s="119"/>
      <c r="M894" s="119"/>
      <c r="N894" s="119"/>
      <c r="O894" s="119"/>
      <c r="P894" s="119"/>
    </row>
    <row r="895" spans="3:16" x14ac:dyDescent="0.2">
      <c r="C895" s="119"/>
      <c r="D895" s="119"/>
      <c r="E895" s="119"/>
      <c r="F895" s="119"/>
      <c r="G895" s="119"/>
      <c r="H895" s="119"/>
      <c r="I895" s="143"/>
      <c r="J895" s="143"/>
      <c r="K895" s="119"/>
      <c r="L895" s="119"/>
      <c r="M895" s="119"/>
      <c r="N895" s="119"/>
      <c r="O895" s="119"/>
      <c r="P895" s="119"/>
    </row>
    <row r="896" spans="3:16" x14ac:dyDescent="0.2">
      <c r="C896" s="119"/>
      <c r="D896" s="119"/>
      <c r="E896" s="119"/>
      <c r="F896" s="119"/>
      <c r="G896" s="119"/>
      <c r="H896" s="119"/>
      <c r="I896" s="143"/>
      <c r="J896" s="143"/>
      <c r="K896" s="119"/>
      <c r="L896" s="119"/>
      <c r="M896" s="119"/>
      <c r="N896" s="119"/>
      <c r="O896" s="119"/>
      <c r="P896" s="119"/>
    </row>
    <row r="897" spans="3:16" x14ac:dyDescent="0.2">
      <c r="C897" s="119"/>
      <c r="D897" s="119"/>
      <c r="E897" s="119"/>
      <c r="F897" s="119"/>
      <c r="G897" s="119"/>
      <c r="H897" s="119"/>
      <c r="I897" s="143"/>
      <c r="J897" s="143"/>
      <c r="K897" s="119"/>
      <c r="L897" s="119"/>
      <c r="M897" s="119"/>
      <c r="N897" s="119"/>
      <c r="O897" s="119"/>
      <c r="P897" s="119"/>
    </row>
    <row r="898" spans="3:16" x14ac:dyDescent="0.2">
      <c r="C898" s="119"/>
      <c r="D898" s="119"/>
      <c r="E898" s="119"/>
      <c r="F898" s="119"/>
      <c r="G898" s="119"/>
      <c r="H898" s="119"/>
      <c r="I898" s="143"/>
      <c r="J898" s="143"/>
      <c r="K898" s="119"/>
      <c r="L898" s="119"/>
      <c r="M898" s="119"/>
      <c r="N898" s="119"/>
      <c r="O898" s="119"/>
      <c r="P898" s="119"/>
    </row>
    <row r="899" spans="3:16" x14ac:dyDescent="0.2">
      <c r="C899" s="119"/>
      <c r="D899" s="119"/>
      <c r="E899" s="119"/>
      <c r="F899" s="119"/>
      <c r="G899" s="119"/>
      <c r="H899" s="119"/>
      <c r="I899" s="143"/>
      <c r="J899" s="143"/>
      <c r="K899" s="119"/>
      <c r="L899" s="119"/>
      <c r="M899" s="119"/>
      <c r="N899" s="119"/>
      <c r="O899" s="119"/>
      <c r="P899" s="119"/>
    </row>
    <row r="900" spans="3:16" x14ac:dyDescent="0.2">
      <c r="C900" s="119"/>
      <c r="D900" s="119"/>
      <c r="E900" s="119"/>
      <c r="F900" s="119"/>
      <c r="G900" s="119"/>
      <c r="H900" s="119"/>
      <c r="I900" s="143"/>
      <c r="J900" s="143"/>
      <c r="K900" s="119"/>
      <c r="L900" s="119"/>
      <c r="M900" s="119"/>
      <c r="N900" s="119"/>
      <c r="O900" s="119"/>
      <c r="P900" s="119"/>
    </row>
    <row r="901" spans="3:16" x14ac:dyDescent="0.2">
      <c r="C901" s="119"/>
      <c r="D901" s="119"/>
      <c r="E901" s="119"/>
      <c r="F901" s="119"/>
      <c r="G901" s="119"/>
      <c r="H901" s="119"/>
      <c r="I901" s="143"/>
      <c r="J901" s="143"/>
      <c r="K901" s="119"/>
      <c r="L901" s="119"/>
      <c r="M901" s="119"/>
      <c r="N901" s="119"/>
      <c r="O901" s="119"/>
      <c r="P901" s="119"/>
    </row>
    <row r="902" spans="3:16" x14ac:dyDescent="0.2">
      <c r="C902" s="119"/>
      <c r="D902" s="119"/>
      <c r="E902" s="119"/>
      <c r="F902" s="119"/>
      <c r="G902" s="119"/>
      <c r="H902" s="119"/>
      <c r="I902" s="143"/>
      <c r="J902" s="143"/>
      <c r="K902" s="119"/>
      <c r="L902" s="119"/>
      <c r="M902" s="119"/>
      <c r="N902" s="119"/>
      <c r="O902" s="119"/>
      <c r="P902" s="119"/>
    </row>
    <row r="903" spans="3:16" x14ac:dyDescent="0.2">
      <c r="C903" s="119"/>
      <c r="D903" s="119"/>
      <c r="E903" s="119"/>
      <c r="F903" s="119"/>
      <c r="G903" s="119"/>
      <c r="H903" s="119"/>
      <c r="I903" s="143"/>
      <c r="J903" s="143"/>
      <c r="K903" s="119"/>
      <c r="L903" s="119"/>
      <c r="M903" s="119"/>
      <c r="N903" s="119"/>
      <c r="O903" s="119"/>
      <c r="P903" s="119"/>
    </row>
    <row r="904" spans="3:16" x14ac:dyDescent="0.2">
      <c r="C904" s="119"/>
      <c r="D904" s="119"/>
      <c r="E904" s="119"/>
      <c r="F904" s="119"/>
      <c r="G904" s="119"/>
      <c r="H904" s="119"/>
      <c r="I904" s="143"/>
      <c r="J904" s="143"/>
      <c r="K904" s="119"/>
      <c r="L904" s="119"/>
      <c r="M904" s="119"/>
      <c r="N904" s="119"/>
      <c r="O904" s="119"/>
      <c r="P904" s="119"/>
    </row>
    <row r="905" spans="3:16" x14ac:dyDescent="0.2">
      <c r="C905" s="119"/>
      <c r="D905" s="119"/>
      <c r="E905" s="119"/>
      <c r="F905" s="119"/>
      <c r="G905" s="119"/>
      <c r="H905" s="119"/>
      <c r="I905" s="143"/>
      <c r="J905" s="143"/>
      <c r="K905" s="119"/>
      <c r="L905" s="119"/>
      <c r="M905" s="119"/>
      <c r="N905" s="119"/>
      <c r="O905" s="119"/>
      <c r="P905" s="119"/>
    </row>
    <row r="906" spans="3:16" x14ac:dyDescent="0.2">
      <c r="C906" s="119"/>
      <c r="D906" s="119"/>
      <c r="E906" s="119"/>
      <c r="F906" s="119"/>
      <c r="G906" s="119"/>
      <c r="H906" s="119"/>
      <c r="I906" s="143"/>
      <c r="J906" s="143"/>
      <c r="K906" s="119"/>
      <c r="L906" s="119"/>
      <c r="M906" s="119"/>
      <c r="N906" s="119"/>
      <c r="O906" s="119"/>
      <c r="P906" s="119"/>
    </row>
    <row r="907" spans="3:16" x14ac:dyDescent="0.2">
      <c r="C907" s="119"/>
      <c r="D907" s="119"/>
      <c r="E907" s="119"/>
      <c r="F907" s="119"/>
      <c r="G907" s="119"/>
      <c r="H907" s="119"/>
      <c r="I907" s="143"/>
      <c r="J907" s="143"/>
      <c r="K907" s="119"/>
      <c r="L907" s="119"/>
      <c r="M907" s="119"/>
      <c r="N907" s="119"/>
      <c r="O907" s="119"/>
      <c r="P907" s="119"/>
    </row>
    <row r="908" spans="3:16" x14ac:dyDescent="0.2">
      <c r="C908" s="119"/>
      <c r="D908" s="119"/>
      <c r="E908" s="119"/>
      <c r="F908" s="119"/>
      <c r="G908" s="119"/>
      <c r="H908" s="119"/>
      <c r="I908" s="143"/>
      <c r="J908" s="143"/>
      <c r="K908" s="119"/>
      <c r="L908" s="119"/>
      <c r="M908" s="119"/>
      <c r="N908" s="119"/>
      <c r="O908" s="119"/>
      <c r="P908" s="119"/>
    </row>
    <row r="909" spans="3:16" x14ac:dyDescent="0.2">
      <c r="C909" s="119"/>
      <c r="D909" s="119"/>
      <c r="E909" s="119"/>
      <c r="F909" s="119"/>
      <c r="G909" s="119"/>
      <c r="H909" s="119"/>
      <c r="I909" s="143"/>
      <c r="J909" s="143"/>
      <c r="K909" s="119"/>
      <c r="L909" s="119"/>
      <c r="M909" s="119"/>
      <c r="N909" s="119"/>
      <c r="O909" s="119"/>
      <c r="P909" s="119"/>
    </row>
    <row r="910" spans="3:16" x14ac:dyDescent="0.2">
      <c r="C910" s="119"/>
      <c r="D910" s="119"/>
      <c r="E910" s="119"/>
      <c r="F910" s="119"/>
      <c r="G910" s="119"/>
      <c r="H910" s="119"/>
      <c r="I910" s="143"/>
      <c r="J910" s="143"/>
      <c r="K910" s="119"/>
      <c r="L910" s="119"/>
      <c r="M910" s="119"/>
      <c r="N910" s="119"/>
      <c r="O910" s="119"/>
      <c r="P910" s="119"/>
    </row>
    <row r="911" spans="3:16" x14ac:dyDescent="0.2">
      <c r="C911" s="119"/>
      <c r="D911" s="119"/>
      <c r="E911" s="119"/>
      <c r="F911" s="119"/>
      <c r="G911" s="119"/>
      <c r="H911" s="119"/>
      <c r="I911" s="143"/>
      <c r="J911" s="143"/>
      <c r="K911" s="119"/>
      <c r="L911" s="119"/>
      <c r="M911" s="119"/>
      <c r="N911" s="119"/>
      <c r="O911" s="119"/>
      <c r="P911" s="119"/>
    </row>
    <row r="912" spans="3:16" x14ac:dyDescent="0.2">
      <c r="C912" s="119"/>
      <c r="D912" s="119"/>
      <c r="E912" s="119"/>
      <c r="F912" s="119"/>
      <c r="G912" s="119"/>
      <c r="H912" s="119"/>
      <c r="I912" s="143"/>
      <c r="J912" s="143"/>
      <c r="K912" s="119"/>
      <c r="L912" s="119"/>
      <c r="M912" s="119"/>
      <c r="N912" s="119"/>
      <c r="O912" s="119"/>
      <c r="P912" s="119"/>
    </row>
    <row r="913" spans="3:16" x14ac:dyDescent="0.2">
      <c r="C913" s="119"/>
      <c r="D913" s="119"/>
      <c r="E913" s="119"/>
      <c r="F913" s="119"/>
      <c r="G913" s="119"/>
      <c r="H913" s="119"/>
      <c r="I913" s="143"/>
      <c r="J913" s="143"/>
      <c r="K913" s="119"/>
      <c r="L913" s="119"/>
      <c r="M913" s="119"/>
      <c r="N913" s="119"/>
      <c r="O913" s="119"/>
      <c r="P913" s="119"/>
    </row>
    <row r="914" spans="3:16" x14ac:dyDescent="0.2">
      <c r="C914" s="119"/>
      <c r="D914" s="119"/>
      <c r="E914" s="119"/>
      <c r="F914" s="119"/>
      <c r="G914" s="119"/>
      <c r="H914" s="119"/>
      <c r="I914" s="143"/>
      <c r="J914" s="143"/>
      <c r="K914" s="119"/>
      <c r="L914" s="119"/>
      <c r="M914" s="119"/>
      <c r="N914" s="119"/>
      <c r="O914" s="119"/>
      <c r="P914" s="119"/>
    </row>
    <row r="915" spans="3:16" x14ac:dyDescent="0.2">
      <c r="C915" s="119"/>
      <c r="D915" s="119"/>
      <c r="E915" s="119"/>
      <c r="F915" s="119"/>
      <c r="G915" s="119"/>
      <c r="H915" s="119"/>
      <c r="I915" s="143"/>
      <c r="J915" s="143"/>
      <c r="K915" s="119"/>
      <c r="L915" s="119"/>
      <c r="M915" s="119"/>
      <c r="N915" s="119"/>
      <c r="O915" s="119"/>
      <c r="P915" s="119"/>
    </row>
    <row r="916" spans="3:16" x14ac:dyDescent="0.2">
      <c r="C916" s="119"/>
      <c r="D916" s="119"/>
      <c r="E916" s="119"/>
      <c r="F916" s="119"/>
      <c r="G916" s="119"/>
      <c r="H916" s="119"/>
      <c r="I916" s="143"/>
      <c r="J916" s="143"/>
      <c r="K916" s="119"/>
      <c r="L916" s="119"/>
      <c r="M916" s="119"/>
      <c r="N916" s="119"/>
      <c r="O916" s="119"/>
      <c r="P916" s="119"/>
    </row>
    <row r="917" spans="3:16" x14ac:dyDescent="0.2">
      <c r="C917" s="119"/>
      <c r="D917" s="119"/>
      <c r="E917" s="119"/>
      <c r="F917" s="119"/>
      <c r="G917" s="119"/>
      <c r="H917" s="119"/>
      <c r="I917" s="143"/>
      <c r="J917" s="143"/>
      <c r="K917" s="119"/>
      <c r="L917" s="119"/>
      <c r="M917" s="119"/>
      <c r="N917" s="119"/>
      <c r="O917" s="119"/>
      <c r="P917" s="119"/>
    </row>
    <row r="918" spans="3:16" x14ac:dyDescent="0.2">
      <c r="C918" s="119"/>
      <c r="D918" s="119"/>
      <c r="E918" s="119"/>
      <c r="F918" s="119"/>
      <c r="G918" s="119"/>
      <c r="H918" s="119"/>
      <c r="I918" s="143"/>
      <c r="J918" s="143"/>
      <c r="K918" s="119"/>
      <c r="L918" s="119"/>
      <c r="M918" s="119"/>
      <c r="N918" s="119"/>
      <c r="O918" s="119"/>
      <c r="P918" s="119"/>
    </row>
    <row r="919" spans="3:16" x14ac:dyDescent="0.2">
      <c r="C919" s="119"/>
      <c r="D919" s="119"/>
      <c r="E919" s="119"/>
      <c r="F919" s="119"/>
      <c r="G919" s="119"/>
      <c r="H919" s="119"/>
      <c r="I919" s="143"/>
      <c r="J919" s="143"/>
      <c r="K919" s="119"/>
      <c r="L919" s="119"/>
      <c r="M919" s="119"/>
      <c r="N919" s="119"/>
      <c r="O919" s="119"/>
      <c r="P919" s="119"/>
    </row>
    <row r="920" spans="3:16" x14ac:dyDescent="0.2">
      <c r="C920" s="119"/>
      <c r="D920" s="119"/>
      <c r="E920" s="119"/>
      <c r="F920" s="119"/>
      <c r="G920" s="119"/>
      <c r="H920" s="119"/>
      <c r="I920" s="143"/>
      <c r="J920" s="143"/>
      <c r="K920" s="119"/>
      <c r="L920" s="119"/>
      <c r="M920" s="119"/>
      <c r="N920" s="119"/>
      <c r="O920" s="119"/>
      <c r="P920" s="119"/>
    </row>
    <row r="921" spans="3:16" x14ac:dyDescent="0.2">
      <c r="C921" s="119"/>
      <c r="D921" s="119"/>
      <c r="E921" s="119"/>
      <c r="F921" s="119"/>
      <c r="G921" s="119"/>
      <c r="H921" s="119"/>
      <c r="I921" s="143"/>
      <c r="J921" s="143"/>
      <c r="K921" s="119"/>
      <c r="L921" s="119"/>
      <c r="M921" s="119"/>
      <c r="N921" s="119"/>
      <c r="O921" s="119"/>
      <c r="P921" s="119"/>
    </row>
    <row r="922" spans="3:16" x14ac:dyDescent="0.2">
      <c r="C922" s="119"/>
      <c r="D922" s="119"/>
      <c r="E922" s="119"/>
      <c r="F922" s="119"/>
      <c r="G922" s="119"/>
      <c r="H922" s="119"/>
      <c r="I922" s="143"/>
      <c r="J922" s="143"/>
      <c r="K922" s="119"/>
      <c r="L922" s="119"/>
      <c r="M922" s="119"/>
      <c r="N922" s="119"/>
      <c r="O922" s="119"/>
      <c r="P922" s="119"/>
    </row>
    <row r="923" spans="3:16" x14ac:dyDescent="0.2">
      <c r="C923" s="119"/>
      <c r="D923" s="119"/>
      <c r="E923" s="119"/>
      <c r="F923" s="119"/>
      <c r="G923" s="119"/>
      <c r="H923" s="119"/>
      <c r="I923" s="143"/>
      <c r="J923" s="143"/>
      <c r="K923" s="119"/>
      <c r="L923" s="119"/>
      <c r="M923" s="119"/>
      <c r="N923" s="119"/>
      <c r="O923" s="119"/>
      <c r="P923" s="119"/>
    </row>
    <row r="924" spans="3:16" x14ac:dyDescent="0.2">
      <c r="C924" s="119"/>
      <c r="D924" s="119"/>
      <c r="E924" s="119"/>
      <c r="F924" s="119"/>
      <c r="G924" s="119"/>
      <c r="H924" s="119"/>
      <c r="I924" s="143"/>
      <c r="J924" s="143"/>
      <c r="K924" s="119"/>
      <c r="L924" s="119"/>
      <c r="M924" s="119"/>
      <c r="N924" s="119"/>
      <c r="O924" s="119"/>
      <c r="P924" s="119"/>
    </row>
    <row r="925" spans="3:16" x14ac:dyDescent="0.2">
      <c r="C925" s="119"/>
      <c r="D925" s="119"/>
      <c r="E925" s="119"/>
      <c r="F925" s="119"/>
      <c r="G925" s="119"/>
      <c r="H925" s="119"/>
      <c r="I925" s="143"/>
      <c r="J925" s="143"/>
      <c r="K925" s="119"/>
      <c r="L925" s="119"/>
      <c r="M925" s="119"/>
      <c r="N925" s="119"/>
      <c r="O925" s="119"/>
      <c r="P925" s="119"/>
    </row>
    <row r="926" spans="3:16" x14ac:dyDescent="0.2">
      <c r="C926" s="119"/>
      <c r="D926" s="119"/>
      <c r="E926" s="119"/>
      <c r="F926" s="119"/>
      <c r="G926" s="119"/>
      <c r="H926" s="119"/>
      <c r="I926" s="143"/>
      <c r="J926" s="143"/>
      <c r="K926" s="119"/>
      <c r="L926" s="119"/>
      <c r="M926" s="119"/>
      <c r="N926" s="119"/>
      <c r="O926" s="119"/>
      <c r="P926" s="119"/>
    </row>
    <row r="927" spans="3:16" x14ac:dyDescent="0.2">
      <c r="C927" s="119"/>
      <c r="D927" s="119"/>
      <c r="E927" s="119"/>
      <c r="F927" s="119"/>
      <c r="G927" s="119"/>
      <c r="H927" s="119"/>
      <c r="I927" s="143"/>
      <c r="J927" s="143"/>
      <c r="K927" s="119"/>
      <c r="L927" s="119"/>
      <c r="M927" s="119"/>
      <c r="N927" s="119"/>
      <c r="O927" s="119"/>
      <c r="P927" s="119"/>
    </row>
    <row r="928" spans="3:16" x14ac:dyDescent="0.2">
      <c r="C928" s="119"/>
      <c r="D928" s="119"/>
      <c r="E928" s="119"/>
      <c r="F928" s="119"/>
      <c r="G928" s="119"/>
      <c r="H928" s="119"/>
      <c r="I928" s="143"/>
      <c r="J928" s="143"/>
      <c r="K928" s="119"/>
      <c r="L928" s="119"/>
      <c r="M928" s="119"/>
      <c r="N928" s="119"/>
      <c r="O928" s="119"/>
      <c r="P928" s="119"/>
    </row>
    <row r="929" spans="3:16" x14ac:dyDescent="0.2">
      <c r="C929" s="119"/>
      <c r="D929" s="119"/>
      <c r="E929" s="119"/>
      <c r="F929" s="119"/>
      <c r="G929" s="119"/>
      <c r="H929" s="119"/>
      <c r="I929" s="143"/>
      <c r="J929" s="143"/>
      <c r="K929" s="119"/>
      <c r="L929" s="119"/>
      <c r="M929" s="119"/>
      <c r="N929" s="119"/>
      <c r="O929" s="119"/>
      <c r="P929" s="119"/>
    </row>
    <row r="930" spans="3:16" x14ac:dyDescent="0.2">
      <c r="C930" s="119"/>
      <c r="D930" s="119"/>
      <c r="E930" s="119"/>
      <c r="F930" s="119"/>
      <c r="G930" s="119"/>
      <c r="H930" s="119"/>
      <c r="I930" s="143"/>
      <c r="J930" s="143"/>
      <c r="K930" s="119"/>
      <c r="L930" s="119"/>
      <c r="M930" s="119"/>
      <c r="N930" s="119"/>
      <c r="O930" s="119"/>
      <c r="P930" s="119"/>
    </row>
    <row r="931" spans="3:16" x14ac:dyDescent="0.2">
      <c r="C931" s="119"/>
      <c r="D931" s="119"/>
      <c r="E931" s="119"/>
      <c r="F931" s="119"/>
      <c r="G931" s="119"/>
      <c r="H931" s="119"/>
      <c r="I931" s="143"/>
      <c r="J931" s="143"/>
      <c r="K931" s="119"/>
      <c r="L931" s="119"/>
      <c r="M931" s="119"/>
      <c r="N931" s="119"/>
      <c r="O931" s="119"/>
      <c r="P931" s="119"/>
    </row>
    <row r="932" spans="3:16" x14ac:dyDescent="0.2">
      <c r="C932" s="119"/>
      <c r="D932" s="119"/>
      <c r="E932" s="119"/>
      <c r="F932" s="119"/>
      <c r="G932" s="119"/>
      <c r="H932" s="119"/>
      <c r="I932" s="143"/>
      <c r="J932" s="143"/>
      <c r="K932" s="119"/>
      <c r="L932" s="119"/>
      <c r="M932" s="119"/>
      <c r="N932" s="119"/>
      <c r="O932" s="119"/>
      <c r="P932" s="119"/>
    </row>
    <row r="933" spans="3:16" x14ac:dyDescent="0.2">
      <c r="C933" s="119"/>
      <c r="D933" s="119"/>
      <c r="E933" s="119"/>
      <c r="F933" s="119"/>
      <c r="G933" s="119"/>
      <c r="H933" s="119"/>
      <c r="I933" s="143"/>
      <c r="J933" s="143"/>
      <c r="K933" s="119"/>
      <c r="L933" s="119"/>
      <c r="M933" s="119"/>
      <c r="N933" s="119"/>
      <c r="O933" s="119"/>
      <c r="P933" s="119"/>
    </row>
    <row r="934" spans="3:16" x14ac:dyDescent="0.2">
      <c r="C934" s="119"/>
      <c r="D934" s="119"/>
      <c r="E934" s="119"/>
      <c r="F934" s="119"/>
      <c r="G934" s="119"/>
      <c r="H934" s="119"/>
      <c r="I934" s="143"/>
      <c r="J934" s="143"/>
      <c r="K934" s="119"/>
      <c r="L934" s="119"/>
      <c r="M934" s="119"/>
      <c r="N934" s="119"/>
      <c r="O934" s="119"/>
      <c r="P934" s="119"/>
    </row>
    <row r="935" spans="3:16" x14ac:dyDescent="0.2">
      <c r="C935" s="119"/>
      <c r="D935" s="119"/>
      <c r="E935" s="119"/>
      <c r="F935" s="119"/>
      <c r="G935" s="119"/>
      <c r="H935" s="119"/>
      <c r="I935" s="143"/>
      <c r="J935" s="143"/>
      <c r="K935" s="119"/>
      <c r="L935" s="119"/>
      <c r="M935" s="119"/>
      <c r="N935" s="119"/>
      <c r="O935" s="119"/>
      <c r="P935" s="119"/>
    </row>
    <row r="936" spans="3:16" x14ac:dyDescent="0.2">
      <c r="C936" s="119"/>
      <c r="D936" s="119"/>
      <c r="E936" s="119"/>
      <c r="F936" s="119"/>
      <c r="G936" s="119"/>
      <c r="H936" s="119"/>
      <c r="I936" s="143"/>
      <c r="J936" s="143"/>
      <c r="K936" s="119"/>
      <c r="L936" s="119"/>
      <c r="M936" s="119"/>
      <c r="N936" s="119"/>
      <c r="O936" s="119"/>
      <c r="P936" s="119"/>
    </row>
    <row r="937" spans="3:16" x14ac:dyDescent="0.2">
      <c r="C937" s="119"/>
      <c r="D937" s="119"/>
      <c r="E937" s="119"/>
      <c r="F937" s="119"/>
      <c r="G937" s="119"/>
      <c r="H937" s="119"/>
      <c r="I937" s="143"/>
      <c r="J937" s="143"/>
      <c r="K937" s="119"/>
      <c r="L937" s="119"/>
      <c r="M937" s="119"/>
      <c r="N937" s="119"/>
      <c r="O937" s="119"/>
      <c r="P937" s="119"/>
    </row>
    <row r="938" spans="3:16" x14ac:dyDescent="0.2">
      <c r="C938" s="119"/>
      <c r="D938" s="119"/>
      <c r="E938" s="119"/>
      <c r="F938" s="119"/>
      <c r="G938" s="119"/>
      <c r="H938" s="119"/>
      <c r="I938" s="143"/>
      <c r="J938" s="143"/>
      <c r="K938" s="119"/>
      <c r="L938" s="119"/>
      <c r="M938" s="119"/>
      <c r="N938" s="119"/>
      <c r="O938" s="119"/>
      <c r="P938" s="119"/>
    </row>
    <row r="939" spans="3:16" x14ac:dyDescent="0.2">
      <c r="C939" s="119"/>
      <c r="D939" s="119"/>
      <c r="E939" s="119"/>
      <c r="F939" s="119"/>
      <c r="G939" s="119"/>
      <c r="H939" s="119"/>
      <c r="I939" s="143"/>
      <c r="J939" s="143"/>
      <c r="K939" s="119"/>
      <c r="L939" s="119"/>
      <c r="M939" s="119"/>
      <c r="N939" s="119"/>
      <c r="O939" s="119"/>
      <c r="P939" s="119"/>
    </row>
    <row r="940" spans="3:16" x14ac:dyDescent="0.2">
      <c r="C940" s="119"/>
      <c r="D940" s="119"/>
      <c r="E940" s="119"/>
      <c r="F940" s="119"/>
      <c r="G940" s="119"/>
      <c r="H940" s="119"/>
      <c r="I940" s="143"/>
      <c r="J940" s="143"/>
      <c r="K940" s="119"/>
      <c r="L940" s="119"/>
      <c r="M940" s="119"/>
      <c r="N940" s="119"/>
      <c r="O940" s="119"/>
      <c r="P940" s="119"/>
    </row>
    <row r="941" spans="3:16" x14ac:dyDescent="0.2">
      <c r="C941" s="119"/>
      <c r="D941" s="119"/>
      <c r="E941" s="119"/>
      <c r="F941" s="119"/>
      <c r="G941" s="119"/>
      <c r="H941" s="119"/>
      <c r="I941" s="143"/>
      <c r="J941" s="143"/>
      <c r="K941" s="119"/>
      <c r="L941" s="119"/>
      <c r="M941" s="119"/>
      <c r="N941" s="119"/>
      <c r="O941" s="119"/>
      <c r="P941" s="119"/>
    </row>
    <row r="942" spans="3:16" x14ac:dyDescent="0.2">
      <c r="C942" s="119"/>
      <c r="D942" s="119"/>
      <c r="E942" s="119"/>
      <c r="F942" s="119"/>
      <c r="G942" s="119"/>
      <c r="H942" s="119"/>
      <c r="I942" s="143"/>
      <c r="J942" s="143"/>
      <c r="K942" s="119"/>
      <c r="L942" s="119"/>
      <c r="M942" s="119"/>
      <c r="N942" s="119"/>
      <c r="O942" s="119"/>
      <c r="P942" s="119"/>
    </row>
    <row r="943" spans="3:16" x14ac:dyDescent="0.2">
      <c r="C943" s="119"/>
      <c r="D943" s="119"/>
      <c r="E943" s="119"/>
      <c r="F943" s="119"/>
      <c r="G943" s="119"/>
      <c r="H943" s="119"/>
      <c r="I943" s="143"/>
      <c r="J943" s="143"/>
      <c r="K943" s="119"/>
      <c r="L943" s="119"/>
      <c r="M943" s="119"/>
      <c r="N943" s="119"/>
      <c r="O943" s="119"/>
      <c r="P943" s="119"/>
    </row>
    <row r="944" spans="3:16" x14ac:dyDescent="0.2">
      <c r="C944" s="119"/>
      <c r="D944" s="119"/>
      <c r="E944" s="119"/>
      <c r="F944" s="119"/>
      <c r="G944" s="119"/>
      <c r="H944" s="119"/>
      <c r="I944" s="143"/>
      <c r="J944" s="143"/>
      <c r="K944" s="119"/>
      <c r="L944" s="119"/>
      <c r="M944" s="119"/>
      <c r="N944" s="119"/>
      <c r="O944" s="119"/>
      <c r="P944" s="119"/>
    </row>
    <row r="945" spans="3:16" x14ac:dyDescent="0.2">
      <c r="C945" s="119"/>
      <c r="D945" s="119"/>
      <c r="E945" s="119"/>
      <c r="F945" s="119"/>
      <c r="G945" s="119"/>
      <c r="H945" s="119"/>
      <c r="I945" s="143"/>
      <c r="J945" s="143"/>
      <c r="K945" s="119"/>
      <c r="L945" s="119"/>
      <c r="M945" s="119"/>
      <c r="N945" s="119"/>
      <c r="O945" s="119"/>
      <c r="P945" s="119"/>
    </row>
    <row r="946" spans="3:16" x14ac:dyDescent="0.2">
      <c r="C946" s="119"/>
      <c r="D946" s="119"/>
      <c r="E946" s="119"/>
      <c r="F946" s="119"/>
      <c r="G946" s="119"/>
      <c r="H946" s="119"/>
      <c r="I946" s="143"/>
      <c r="J946" s="143"/>
      <c r="K946" s="119"/>
      <c r="L946" s="119"/>
      <c r="M946" s="119"/>
      <c r="N946" s="119"/>
      <c r="O946" s="119"/>
      <c r="P946" s="119"/>
    </row>
    <row r="947" spans="3:16" x14ac:dyDescent="0.2">
      <c r="C947" s="119"/>
      <c r="D947" s="119"/>
      <c r="E947" s="119"/>
      <c r="F947" s="119"/>
      <c r="G947" s="119"/>
      <c r="H947" s="119"/>
      <c r="I947" s="143"/>
      <c r="J947" s="143"/>
      <c r="K947" s="119"/>
      <c r="L947" s="119"/>
      <c r="M947" s="119"/>
      <c r="N947" s="119"/>
      <c r="O947" s="119"/>
      <c r="P947" s="119"/>
    </row>
    <row r="948" spans="3:16" x14ac:dyDescent="0.2">
      <c r="C948" s="119"/>
      <c r="D948" s="119"/>
      <c r="E948" s="119"/>
      <c r="F948" s="119"/>
      <c r="G948" s="119"/>
      <c r="H948" s="119"/>
      <c r="I948" s="143"/>
      <c r="J948" s="143"/>
      <c r="K948" s="119"/>
      <c r="L948" s="119"/>
      <c r="M948" s="119"/>
      <c r="N948" s="119"/>
      <c r="O948" s="119"/>
      <c r="P948" s="119"/>
    </row>
    <row r="949" spans="3:16" x14ac:dyDescent="0.2">
      <c r="C949" s="119"/>
      <c r="D949" s="119"/>
      <c r="E949" s="119"/>
      <c r="F949" s="119"/>
      <c r="G949" s="119"/>
      <c r="H949" s="119"/>
      <c r="I949" s="143"/>
      <c r="J949" s="143"/>
      <c r="K949" s="119"/>
      <c r="L949" s="119"/>
      <c r="M949" s="119"/>
      <c r="N949" s="119"/>
      <c r="O949" s="119"/>
      <c r="P949" s="119"/>
    </row>
    <row r="950" spans="3:16" x14ac:dyDescent="0.2">
      <c r="C950" s="119"/>
      <c r="D950" s="119"/>
      <c r="E950" s="119"/>
      <c r="F950" s="119"/>
      <c r="G950" s="119"/>
      <c r="H950" s="119"/>
      <c r="I950" s="143"/>
      <c r="J950" s="143"/>
      <c r="K950" s="119"/>
      <c r="L950" s="119"/>
      <c r="M950" s="119"/>
      <c r="N950" s="119"/>
      <c r="O950" s="119"/>
      <c r="P950" s="119"/>
    </row>
    <row r="951" spans="3:16" x14ac:dyDescent="0.2">
      <c r="C951" s="119"/>
      <c r="D951" s="119"/>
      <c r="E951" s="119"/>
      <c r="F951" s="119"/>
      <c r="G951" s="119"/>
      <c r="H951" s="119"/>
      <c r="I951" s="143"/>
      <c r="J951" s="143"/>
      <c r="K951" s="119"/>
      <c r="L951" s="119"/>
      <c r="M951" s="119"/>
      <c r="N951" s="119"/>
      <c r="O951" s="119"/>
      <c r="P951" s="119"/>
    </row>
    <row r="952" spans="3:16" x14ac:dyDescent="0.2">
      <c r="C952" s="119"/>
      <c r="D952" s="119"/>
      <c r="E952" s="119"/>
      <c r="F952" s="119"/>
      <c r="G952" s="119"/>
      <c r="H952" s="119"/>
      <c r="I952" s="143"/>
      <c r="J952" s="143"/>
      <c r="K952" s="119"/>
      <c r="L952" s="119"/>
      <c r="M952" s="119"/>
      <c r="N952" s="119"/>
      <c r="O952" s="119"/>
      <c r="P952" s="119"/>
    </row>
    <row r="953" spans="3:16" x14ac:dyDescent="0.2">
      <c r="C953" s="119"/>
      <c r="D953" s="119"/>
      <c r="E953" s="119"/>
      <c r="F953" s="119"/>
      <c r="G953" s="119"/>
      <c r="H953" s="119"/>
      <c r="I953" s="143"/>
      <c r="J953" s="143"/>
      <c r="K953" s="119"/>
      <c r="L953" s="119"/>
      <c r="M953" s="119"/>
      <c r="N953" s="119"/>
      <c r="O953" s="119"/>
      <c r="P953" s="119"/>
    </row>
    <row r="954" spans="3:16" x14ac:dyDescent="0.2">
      <c r="C954" s="119"/>
      <c r="D954" s="119"/>
      <c r="E954" s="119"/>
      <c r="F954" s="119"/>
      <c r="G954" s="119"/>
      <c r="H954" s="119"/>
      <c r="I954" s="143"/>
      <c r="J954" s="143"/>
      <c r="K954" s="119"/>
      <c r="L954" s="119"/>
      <c r="M954" s="119"/>
      <c r="N954" s="119"/>
      <c r="O954" s="119"/>
      <c r="P954" s="119"/>
    </row>
    <row r="955" spans="3:16" x14ac:dyDescent="0.2">
      <c r="C955" s="119"/>
      <c r="D955" s="119"/>
      <c r="E955" s="119"/>
      <c r="F955" s="119"/>
      <c r="G955" s="119"/>
      <c r="H955" s="119"/>
      <c r="I955" s="143"/>
      <c r="J955" s="143"/>
      <c r="K955" s="119"/>
      <c r="L955" s="119"/>
      <c r="M955" s="119"/>
      <c r="N955" s="119"/>
      <c r="O955" s="119"/>
      <c r="P955" s="119"/>
    </row>
    <row r="956" spans="3:16" x14ac:dyDescent="0.2">
      <c r="C956" s="119"/>
      <c r="D956" s="119"/>
      <c r="E956" s="119"/>
      <c r="F956" s="119"/>
      <c r="G956" s="119"/>
      <c r="H956" s="119"/>
      <c r="I956" s="143"/>
      <c r="J956" s="143"/>
      <c r="K956" s="119"/>
      <c r="L956" s="119"/>
      <c r="M956" s="119"/>
      <c r="N956" s="119"/>
      <c r="O956" s="119"/>
      <c r="P956" s="119"/>
    </row>
    <row r="957" spans="3:16" x14ac:dyDescent="0.2">
      <c r="C957" s="119"/>
      <c r="D957" s="119"/>
      <c r="E957" s="119"/>
      <c r="F957" s="119"/>
      <c r="G957" s="119"/>
      <c r="H957" s="119"/>
      <c r="I957" s="143"/>
      <c r="J957" s="143"/>
      <c r="K957" s="119"/>
      <c r="L957" s="119"/>
      <c r="M957" s="119"/>
      <c r="N957" s="119"/>
      <c r="O957" s="119"/>
      <c r="P957" s="119"/>
    </row>
    <row r="958" spans="3:16" x14ac:dyDescent="0.2">
      <c r="C958" s="119"/>
      <c r="D958" s="119"/>
      <c r="E958" s="119"/>
      <c r="F958" s="119"/>
      <c r="G958" s="119"/>
      <c r="H958" s="119"/>
      <c r="I958" s="143"/>
      <c r="J958" s="143"/>
      <c r="K958" s="119"/>
      <c r="L958" s="119"/>
      <c r="M958" s="119"/>
      <c r="N958" s="119"/>
      <c r="O958" s="119"/>
      <c r="P958" s="119"/>
    </row>
    <row r="959" spans="3:16" x14ac:dyDescent="0.2">
      <c r="C959" s="119"/>
      <c r="D959" s="119"/>
      <c r="E959" s="119"/>
      <c r="F959" s="119"/>
      <c r="G959" s="119"/>
      <c r="H959" s="119"/>
      <c r="I959" s="143"/>
      <c r="J959" s="143"/>
      <c r="K959" s="119"/>
      <c r="L959" s="119"/>
      <c r="M959" s="119"/>
      <c r="N959" s="119"/>
      <c r="O959" s="119"/>
      <c r="P959" s="119"/>
    </row>
    <row r="960" spans="3:16" x14ac:dyDescent="0.2">
      <c r="C960" s="119"/>
      <c r="D960" s="119"/>
      <c r="E960" s="119"/>
      <c r="F960" s="119"/>
      <c r="G960" s="119"/>
      <c r="H960" s="119"/>
      <c r="I960" s="143"/>
      <c r="J960" s="143"/>
      <c r="K960" s="119"/>
      <c r="L960" s="119"/>
      <c r="M960" s="119"/>
      <c r="N960" s="119"/>
      <c r="O960" s="119"/>
      <c r="P960" s="119"/>
    </row>
    <row r="961" spans="3:16" x14ac:dyDescent="0.2">
      <c r="C961" s="119"/>
      <c r="D961" s="119"/>
      <c r="E961" s="119"/>
      <c r="F961" s="119"/>
      <c r="G961" s="119"/>
      <c r="H961" s="119"/>
      <c r="I961" s="143"/>
      <c r="J961" s="143"/>
      <c r="K961" s="119"/>
      <c r="L961" s="119"/>
      <c r="M961" s="119"/>
      <c r="N961" s="119"/>
      <c r="O961" s="119"/>
      <c r="P961" s="119"/>
    </row>
    <row r="962" spans="3:16" x14ac:dyDescent="0.2">
      <c r="C962" s="119"/>
      <c r="D962" s="119"/>
      <c r="E962" s="119"/>
      <c r="F962" s="119"/>
      <c r="G962" s="119"/>
      <c r="H962" s="119"/>
      <c r="I962" s="143"/>
      <c r="J962" s="143"/>
      <c r="K962" s="119"/>
      <c r="L962" s="119"/>
      <c r="M962" s="119"/>
      <c r="N962" s="119"/>
      <c r="O962" s="119"/>
      <c r="P962" s="119"/>
    </row>
    <row r="963" spans="3:16" x14ac:dyDescent="0.2">
      <c r="C963" s="119"/>
      <c r="D963" s="119"/>
      <c r="E963" s="119"/>
      <c r="F963" s="119"/>
      <c r="G963" s="119"/>
      <c r="H963" s="119"/>
      <c r="I963" s="143"/>
      <c r="J963" s="143"/>
      <c r="K963" s="119"/>
      <c r="L963" s="119"/>
      <c r="M963" s="119"/>
      <c r="N963" s="119"/>
      <c r="O963" s="119"/>
      <c r="P963" s="119"/>
    </row>
    <row r="964" spans="3:16" x14ac:dyDescent="0.2">
      <c r="C964" s="119"/>
      <c r="D964" s="119"/>
      <c r="E964" s="119"/>
      <c r="F964" s="119"/>
      <c r="G964" s="119"/>
      <c r="H964" s="119"/>
      <c r="I964" s="143"/>
      <c r="J964" s="143"/>
      <c r="K964" s="119"/>
      <c r="L964" s="119"/>
      <c r="M964" s="119"/>
      <c r="N964" s="119"/>
      <c r="O964" s="119"/>
      <c r="P964" s="119"/>
    </row>
    <row r="965" spans="3:16" x14ac:dyDescent="0.2">
      <c r="C965" s="119"/>
      <c r="D965" s="119"/>
      <c r="E965" s="119"/>
      <c r="F965" s="119"/>
      <c r="G965" s="119"/>
      <c r="H965" s="119"/>
      <c r="I965" s="143"/>
      <c r="J965" s="143"/>
      <c r="K965" s="119"/>
      <c r="L965" s="119"/>
      <c r="M965" s="119"/>
      <c r="N965" s="119"/>
      <c r="O965" s="119"/>
      <c r="P965" s="119"/>
    </row>
    <row r="966" spans="3:16" x14ac:dyDescent="0.2">
      <c r="C966" s="119"/>
      <c r="D966" s="119"/>
      <c r="E966" s="119"/>
      <c r="F966" s="119"/>
      <c r="G966" s="119"/>
      <c r="H966" s="119"/>
      <c r="I966" s="143"/>
      <c r="J966" s="143"/>
      <c r="K966" s="119"/>
      <c r="L966" s="119"/>
      <c r="M966" s="119"/>
      <c r="N966" s="119"/>
      <c r="O966" s="119"/>
      <c r="P966" s="119"/>
    </row>
    <row r="967" spans="3:16" x14ac:dyDescent="0.2">
      <c r="C967" s="119"/>
      <c r="D967" s="119"/>
      <c r="E967" s="119"/>
      <c r="F967" s="119"/>
      <c r="G967" s="119"/>
      <c r="H967" s="119"/>
      <c r="I967" s="143"/>
      <c r="J967" s="143"/>
      <c r="K967" s="119"/>
      <c r="L967" s="119"/>
      <c r="M967" s="119"/>
      <c r="N967" s="119"/>
      <c r="O967" s="119"/>
      <c r="P967" s="119"/>
    </row>
    <row r="968" spans="3:16" x14ac:dyDescent="0.2">
      <c r="C968" s="119"/>
      <c r="D968" s="119"/>
      <c r="E968" s="119"/>
      <c r="F968" s="119"/>
      <c r="G968" s="119"/>
      <c r="H968" s="119"/>
      <c r="I968" s="143"/>
      <c r="J968" s="143"/>
      <c r="K968" s="119"/>
      <c r="L968" s="119"/>
      <c r="M968" s="119"/>
      <c r="N968" s="119"/>
      <c r="O968" s="119"/>
      <c r="P968" s="119"/>
    </row>
    <row r="969" spans="3:16" x14ac:dyDescent="0.2">
      <c r="C969" s="119"/>
      <c r="D969" s="119"/>
      <c r="E969" s="119"/>
      <c r="F969" s="119"/>
      <c r="G969" s="119"/>
      <c r="H969" s="119"/>
      <c r="I969" s="143"/>
      <c r="J969" s="143"/>
      <c r="K969" s="119"/>
      <c r="L969" s="119"/>
      <c r="M969" s="119"/>
      <c r="N969" s="119"/>
      <c r="O969" s="119"/>
      <c r="P969" s="119"/>
    </row>
    <row r="970" spans="3:16" x14ac:dyDescent="0.2">
      <c r="C970" s="119"/>
      <c r="D970" s="119"/>
      <c r="E970" s="119"/>
      <c r="F970" s="119"/>
      <c r="G970" s="119"/>
      <c r="H970" s="119"/>
      <c r="I970" s="143"/>
      <c r="J970" s="143"/>
      <c r="K970" s="119"/>
      <c r="L970" s="119"/>
      <c r="M970" s="119"/>
      <c r="N970" s="119"/>
      <c r="O970" s="119"/>
      <c r="P970" s="119"/>
    </row>
    <row r="971" spans="3:16" x14ac:dyDescent="0.2">
      <c r="C971" s="119"/>
      <c r="D971" s="119"/>
      <c r="E971" s="119"/>
      <c r="F971" s="119"/>
      <c r="G971" s="119"/>
      <c r="H971" s="119"/>
      <c r="I971" s="143"/>
      <c r="J971" s="143"/>
      <c r="K971" s="119"/>
      <c r="L971" s="119"/>
      <c r="M971" s="119"/>
      <c r="N971" s="119"/>
      <c r="O971" s="119"/>
      <c r="P971" s="119"/>
    </row>
    <row r="972" spans="3:16" x14ac:dyDescent="0.2">
      <c r="C972" s="119"/>
      <c r="D972" s="119"/>
      <c r="E972" s="119"/>
      <c r="F972" s="119"/>
      <c r="G972" s="119"/>
      <c r="H972" s="119"/>
      <c r="I972" s="143"/>
      <c r="J972" s="143"/>
      <c r="K972" s="119"/>
      <c r="L972" s="119"/>
      <c r="M972" s="119"/>
      <c r="N972" s="119"/>
      <c r="O972" s="119"/>
      <c r="P972" s="119"/>
    </row>
    <row r="973" spans="3:16" x14ac:dyDescent="0.2">
      <c r="C973" s="119"/>
      <c r="D973" s="119"/>
      <c r="E973" s="119"/>
      <c r="F973" s="119"/>
      <c r="G973" s="119"/>
      <c r="H973" s="119"/>
      <c r="I973" s="143"/>
      <c r="J973" s="143"/>
      <c r="K973" s="119"/>
      <c r="L973" s="119"/>
      <c r="M973" s="119"/>
      <c r="N973" s="119"/>
      <c r="O973" s="119"/>
      <c r="P973" s="119"/>
    </row>
    <row r="974" spans="3:16" x14ac:dyDescent="0.2">
      <c r="C974" s="119"/>
      <c r="D974" s="119"/>
      <c r="E974" s="119"/>
      <c r="F974" s="119"/>
      <c r="G974" s="119"/>
      <c r="H974" s="119"/>
      <c r="I974" s="143"/>
      <c r="J974" s="143"/>
      <c r="K974" s="119"/>
      <c r="L974" s="119"/>
      <c r="M974" s="119"/>
      <c r="N974" s="119"/>
      <c r="O974" s="119"/>
      <c r="P974" s="119"/>
    </row>
    <row r="975" spans="3:16" x14ac:dyDescent="0.2">
      <c r="C975" s="119"/>
      <c r="D975" s="119"/>
      <c r="E975" s="119"/>
      <c r="F975" s="119"/>
      <c r="G975" s="119"/>
      <c r="H975" s="119"/>
      <c r="I975" s="143"/>
      <c r="J975" s="143"/>
      <c r="K975" s="119"/>
      <c r="L975" s="119"/>
      <c r="M975" s="119"/>
      <c r="N975" s="119"/>
      <c r="O975" s="119"/>
      <c r="P975" s="119"/>
    </row>
    <row r="976" spans="3:16" x14ac:dyDescent="0.2">
      <c r="C976" s="119"/>
      <c r="D976" s="119"/>
      <c r="E976" s="119"/>
      <c r="F976" s="119"/>
      <c r="G976" s="119"/>
      <c r="H976" s="119"/>
      <c r="I976" s="143"/>
      <c r="J976" s="143"/>
      <c r="K976" s="119"/>
      <c r="L976" s="119"/>
      <c r="M976" s="119"/>
      <c r="N976" s="119"/>
      <c r="O976" s="119"/>
      <c r="P976" s="119"/>
    </row>
    <row r="977" spans="3:16" x14ac:dyDescent="0.2">
      <c r="C977" s="119"/>
      <c r="D977" s="119"/>
      <c r="E977" s="119"/>
      <c r="F977" s="119"/>
      <c r="G977" s="119"/>
      <c r="H977" s="119"/>
      <c r="I977" s="143"/>
      <c r="J977" s="143"/>
      <c r="K977" s="119"/>
      <c r="L977" s="119"/>
      <c r="M977" s="119"/>
      <c r="N977" s="119"/>
      <c r="O977" s="119"/>
      <c r="P977" s="119"/>
    </row>
    <row r="978" spans="3:16" x14ac:dyDescent="0.2">
      <c r="C978" s="119"/>
      <c r="D978" s="119"/>
      <c r="E978" s="119"/>
      <c r="F978" s="119"/>
      <c r="G978" s="119"/>
      <c r="H978" s="119"/>
      <c r="I978" s="143"/>
      <c r="J978" s="143"/>
      <c r="K978" s="119"/>
      <c r="L978" s="119"/>
      <c r="M978" s="119"/>
      <c r="N978" s="119"/>
      <c r="O978" s="119"/>
      <c r="P978" s="119"/>
    </row>
    <row r="979" spans="3:16" x14ac:dyDescent="0.2">
      <c r="C979" s="119"/>
      <c r="D979" s="119"/>
      <c r="E979" s="119"/>
      <c r="F979" s="119"/>
      <c r="G979" s="119"/>
      <c r="H979" s="119"/>
      <c r="I979" s="143"/>
      <c r="J979" s="143"/>
      <c r="K979" s="119"/>
      <c r="L979" s="119"/>
      <c r="M979" s="119"/>
      <c r="N979" s="119"/>
      <c r="O979" s="119"/>
      <c r="P979" s="119"/>
    </row>
    <row r="980" spans="3:16" x14ac:dyDescent="0.2">
      <c r="C980" s="119"/>
      <c r="D980" s="119"/>
      <c r="E980" s="119"/>
      <c r="F980" s="119"/>
      <c r="G980" s="119"/>
      <c r="H980" s="119"/>
      <c r="I980" s="143"/>
      <c r="J980" s="143"/>
      <c r="K980" s="119"/>
      <c r="L980" s="119"/>
      <c r="M980" s="119"/>
      <c r="N980" s="119"/>
      <c r="O980" s="119"/>
      <c r="P980" s="119"/>
    </row>
    <row r="981" spans="3:16" x14ac:dyDescent="0.2">
      <c r="C981" s="119"/>
      <c r="D981" s="119"/>
      <c r="E981" s="119"/>
      <c r="F981" s="119"/>
      <c r="G981" s="119"/>
      <c r="H981" s="119"/>
      <c r="I981" s="143"/>
      <c r="J981" s="143"/>
      <c r="K981" s="119"/>
      <c r="L981" s="119"/>
      <c r="M981" s="119"/>
      <c r="N981" s="119"/>
      <c r="O981" s="119"/>
      <c r="P981" s="119"/>
    </row>
    <row r="982" spans="3:16" x14ac:dyDescent="0.2">
      <c r="C982" s="119"/>
      <c r="D982" s="119"/>
      <c r="E982" s="119"/>
      <c r="F982" s="119"/>
      <c r="G982" s="119"/>
      <c r="H982" s="119"/>
      <c r="I982" s="143"/>
      <c r="J982" s="143"/>
      <c r="K982" s="119"/>
      <c r="L982" s="119"/>
      <c r="M982" s="119"/>
      <c r="N982" s="119"/>
      <c r="O982" s="119"/>
      <c r="P982" s="119"/>
    </row>
    <row r="983" spans="3:16" x14ac:dyDescent="0.2">
      <c r="C983" s="119"/>
      <c r="D983" s="119"/>
      <c r="E983" s="119"/>
      <c r="F983" s="119"/>
      <c r="G983" s="119"/>
      <c r="H983" s="119"/>
      <c r="I983" s="143"/>
      <c r="J983" s="143"/>
      <c r="K983" s="119"/>
      <c r="L983" s="119"/>
      <c r="M983" s="119"/>
      <c r="N983" s="119"/>
      <c r="O983" s="119"/>
      <c r="P983" s="119"/>
    </row>
    <row r="984" spans="3:16" x14ac:dyDescent="0.2">
      <c r="C984" s="119"/>
      <c r="D984" s="119"/>
      <c r="E984" s="119"/>
      <c r="F984" s="119"/>
      <c r="G984" s="119"/>
      <c r="H984" s="119"/>
      <c r="I984" s="143"/>
      <c r="J984" s="143"/>
      <c r="K984" s="119"/>
      <c r="L984" s="119"/>
      <c r="M984" s="119"/>
      <c r="N984" s="119"/>
      <c r="O984" s="119"/>
      <c r="P984" s="119"/>
    </row>
    <row r="985" spans="3:16" x14ac:dyDescent="0.2">
      <c r="C985" s="119"/>
      <c r="D985" s="119"/>
      <c r="E985" s="119"/>
      <c r="F985" s="119"/>
      <c r="G985" s="119"/>
      <c r="H985" s="119"/>
      <c r="I985" s="143"/>
      <c r="J985" s="143"/>
      <c r="K985" s="119"/>
      <c r="L985" s="119"/>
      <c r="M985" s="119"/>
      <c r="N985" s="119"/>
      <c r="O985" s="119"/>
      <c r="P985" s="119"/>
    </row>
    <row r="986" spans="3:16" x14ac:dyDescent="0.2">
      <c r="C986" s="119"/>
      <c r="D986" s="119"/>
      <c r="E986" s="119"/>
      <c r="F986" s="119"/>
      <c r="G986" s="119"/>
      <c r="H986" s="119"/>
      <c r="I986" s="143"/>
      <c r="J986" s="143"/>
      <c r="K986" s="119"/>
      <c r="L986" s="119"/>
      <c r="M986" s="119"/>
      <c r="N986" s="119"/>
      <c r="O986" s="119"/>
      <c r="P986" s="119"/>
    </row>
    <row r="987" spans="3:16" x14ac:dyDescent="0.2">
      <c r="C987" s="119"/>
      <c r="D987" s="119"/>
      <c r="E987" s="119"/>
      <c r="F987" s="119"/>
      <c r="G987" s="119"/>
      <c r="H987" s="119"/>
      <c r="I987" s="143"/>
      <c r="J987" s="143"/>
      <c r="K987" s="119"/>
      <c r="L987" s="119"/>
      <c r="M987" s="119"/>
      <c r="N987" s="119"/>
      <c r="O987" s="119"/>
      <c r="P987" s="119"/>
    </row>
    <row r="988" spans="3:16" x14ac:dyDescent="0.2">
      <c r="C988" s="119"/>
      <c r="D988" s="119"/>
      <c r="E988" s="119"/>
      <c r="F988" s="119"/>
      <c r="G988" s="119"/>
      <c r="H988" s="119"/>
      <c r="I988" s="143"/>
      <c r="J988" s="143"/>
      <c r="K988" s="119"/>
      <c r="L988" s="119"/>
      <c r="M988" s="119"/>
      <c r="N988" s="119"/>
      <c r="O988" s="119"/>
      <c r="P988" s="119"/>
    </row>
    <row r="989" spans="3:16" x14ac:dyDescent="0.2">
      <c r="C989" s="119"/>
      <c r="D989" s="119"/>
      <c r="E989" s="119"/>
      <c r="F989" s="119"/>
      <c r="G989" s="119"/>
      <c r="H989" s="119"/>
      <c r="I989" s="143"/>
      <c r="J989" s="143"/>
      <c r="K989" s="119"/>
      <c r="L989" s="119"/>
      <c r="M989" s="119"/>
      <c r="N989" s="119"/>
      <c r="O989" s="119"/>
      <c r="P989" s="119"/>
    </row>
    <row r="990" spans="3:16" x14ac:dyDescent="0.2">
      <c r="C990" s="119"/>
      <c r="D990" s="119"/>
      <c r="E990" s="119"/>
      <c r="F990" s="119"/>
      <c r="G990" s="119"/>
      <c r="H990" s="119"/>
      <c r="I990" s="143"/>
      <c r="J990" s="143"/>
      <c r="K990" s="119"/>
      <c r="L990" s="119"/>
      <c r="M990" s="119"/>
      <c r="N990" s="119"/>
      <c r="O990" s="119"/>
      <c r="P990" s="119"/>
    </row>
    <row r="991" spans="3:16" x14ac:dyDescent="0.2">
      <c r="C991" s="119"/>
      <c r="D991" s="119"/>
      <c r="E991" s="119"/>
      <c r="F991" s="119"/>
      <c r="G991" s="119"/>
      <c r="H991" s="119"/>
      <c r="I991" s="143"/>
      <c r="J991" s="143"/>
      <c r="K991" s="119"/>
      <c r="L991" s="119"/>
      <c r="M991" s="119"/>
      <c r="N991" s="119"/>
      <c r="O991" s="119"/>
      <c r="P991" s="119"/>
    </row>
    <row r="992" spans="3:16" x14ac:dyDescent="0.2">
      <c r="C992" s="119"/>
      <c r="D992" s="119"/>
      <c r="E992" s="119"/>
      <c r="F992" s="119"/>
      <c r="G992" s="119"/>
      <c r="H992" s="119"/>
      <c r="I992" s="143"/>
      <c r="J992" s="143"/>
      <c r="K992" s="119"/>
      <c r="L992" s="119"/>
      <c r="M992" s="119"/>
      <c r="N992" s="119"/>
      <c r="O992" s="119"/>
      <c r="P992" s="119"/>
    </row>
    <row r="993" spans="3:16" x14ac:dyDescent="0.2">
      <c r="C993" s="119"/>
      <c r="D993" s="119"/>
      <c r="E993" s="119"/>
      <c r="F993" s="119"/>
      <c r="G993" s="119"/>
      <c r="H993" s="119"/>
      <c r="I993" s="143"/>
      <c r="J993" s="143"/>
      <c r="K993" s="119"/>
      <c r="L993" s="119"/>
      <c r="M993" s="119"/>
      <c r="N993" s="119"/>
      <c r="O993" s="119"/>
      <c r="P993" s="119"/>
    </row>
    <row r="994" spans="3:16" x14ac:dyDescent="0.2">
      <c r="C994" s="119"/>
      <c r="D994" s="119"/>
      <c r="E994" s="119"/>
      <c r="F994" s="119"/>
      <c r="G994" s="119"/>
      <c r="H994" s="119"/>
      <c r="I994" s="143"/>
      <c r="J994" s="143"/>
      <c r="K994" s="119"/>
      <c r="L994" s="119"/>
      <c r="M994" s="119"/>
      <c r="N994" s="119"/>
      <c r="O994" s="119"/>
      <c r="P994" s="119"/>
    </row>
    <row r="995" spans="3:16" x14ac:dyDescent="0.2">
      <c r="C995" s="119"/>
      <c r="D995" s="119"/>
      <c r="E995" s="119"/>
      <c r="F995" s="119"/>
      <c r="G995" s="119"/>
      <c r="H995" s="119"/>
      <c r="I995" s="143"/>
      <c r="J995" s="143"/>
      <c r="K995" s="119"/>
      <c r="L995" s="119"/>
      <c r="M995" s="119"/>
      <c r="N995" s="119"/>
      <c r="O995" s="119"/>
      <c r="P995" s="119"/>
    </row>
    <row r="996" spans="3:16" x14ac:dyDescent="0.2">
      <c r="C996" s="119"/>
      <c r="D996" s="119"/>
      <c r="E996" s="119"/>
      <c r="F996" s="119"/>
      <c r="G996" s="119"/>
      <c r="H996" s="119"/>
      <c r="I996" s="143"/>
      <c r="J996" s="143"/>
      <c r="K996" s="119"/>
      <c r="L996" s="119"/>
      <c r="M996" s="119"/>
      <c r="N996" s="119"/>
      <c r="O996" s="119"/>
      <c r="P996" s="119"/>
    </row>
    <row r="997" spans="3:16" x14ac:dyDescent="0.2">
      <c r="C997" s="119"/>
      <c r="D997" s="119"/>
      <c r="E997" s="119"/>
      <c r="F997" s="119"/>
      <c r="G997" s="119"/>
      <c r="H997" s="119"/>
      <c r="I997" s="143"/>
      <c r="J997" s="143"/>
      <c r="K997" s="119"/>
      <c r="L997" s="119"/>
      <c r="M997" s="119"/>
      <c r="N997" s="119"/>
      <c r="O997" s="119"/>
      <c r="P997" s="119"/>
    </row>
    <row r="998" spans="3:16" x14ac:dyDescent="0.2">
      <c r="C998" s="119"/>
      <c r="D998" s="119"/>
      <c r="E998" s="119"/>
      <c r="F998" s="119"/>
      <c r="G998" s="119"/>
      <c r="H998" s="119"/>
      <c r="I998" s="143"/>
      <c r="J998" s="143"/>
      <c r="K998" s="119"/>
      <c r="L998" s="119"/>
      <c r="M998" s="119"/>
      <c r="N998" s="119"/>
      <c r="O998" s="119"/>
      <c r="P998" s="119"/>
    </row>
    <row r="999" spans="3:16" x14ac:dyDescent="0.2">
      <c r="C999" s="119"/>
      <c r="D999" s="119"/>
      <c r="E999" s="119"/>
      <c r="F999" s="119"/>
      <c r="G999" s="119"/>
      <c r="H999" s="119"/>
      <c r="I999" s="143"/>
      <c r="J999" s="143"/>
      <c r="K999" s="119"/>
      <c r="L999" s="119"/>
      <c r="M999" s="119"/>
      <c r="N999" s="119"/>
      <c r="O999" s="119"/>
      <c r="P999" s="119"/>
    </row>
    <row r="1000" spans="3:16" x14ac:dyDescent="0.2">
      <c r="C1000" s="119"/>
      <c r="D1000" s="119"/>
      <c r="E1000" s="119"/>
      <c r="F1000" s="119"/>
      <c r="G1000" s="119"/>
      <c r="H1000" s="119"/>
      <c r="I1000" s="143"/>
      <c r="J1000" s="143"/>
      <c r="K1000" s="119"/>
      <c r="L1000" s="119"/>
      <c r="M1000" s="119"/>
      <c r="N1000" s="119"/>
      <c r="O1000" s="119"/>
      <c r="P1000" s="119"/>
    </row>
    <row r="1001" spans="3:16" x14ac:dyDescent="0.2">
      <c r="C1001" s="119"/>
      <c r="D1001" s="119"/>
      <c r="E1001" s="119"/>
      <c r="F1001" s="119"/>
      <c r="G1001" s="119"/>
      <c r="H1001" s="119"/>
      <c r="I1001" s="143"/>
      <c r="J1001" s="143"/>
      <c r="K1001" s="119"/>
      <c r="L1001" s="119"/>
      <c r="M1001" s="119"/>
      <c r="N1001" s="119"/>
      <c r="O1001" s="119"/>
      <c r="P1001" s="119"/>
    </row>
    <row r="1002" spans="3:16" x14ac:dyDescent="0.2">
      <c r="C1002" s="119"/>
      <c r="D1002" s="119"/>
      <c r="E1002" s="119"/>
      <c r="F1002" s="119"/>
      <c r="G1002" s="119"/>
      <c r="H1002" s="119"/>
      <c r="I1002" s="143"/>
      <c r="J1002" s="143"/>
      <c r="K1002" s="119"/>
      <c r="L1002" s="119"/>
      <c r="M1002" s="119"/>
      <c r="N1002" s="119"/>
      <c r="O1002" s="119"/>
      <c r="P1002" s="119"/>
    </row>
    <row r="1003" spans="3:16" x14ac:dyDescent="0.2">
      <c r="C1003" s="119"/>
      <c r="D1003" s="119"/>
      <c r="E1003" s="119"/>
      <c r="F1003" s="119"/>
      <c r="G1003" s="119"/>
      <c r="H1003" s="119"/>
      <c r="I1003" s="143"/>
      <c r="J1003" s="143"/>
      <c r="K1003" s="119"/>
      <c r="L1003" s="119"/>
      <c r="M1003" s="119"/>
      <c r="N1003" s="119"/>
      <c r="O1003" s="119"/>
      <c r="P1003" s="119"/>
    </row>
    <row r="1004" spans="3:16" x14ac:dyDescent="0.2">
      <c r="C1004" s="119"/>
      <c r="D1004" s="119"/>
      <c r="E1004" s="119"/>
      <c r="F1004" s="119"/>
      <c r="G1004" s="119"/>
      <c r="H1004" s="119"/>
      <c r="I1004" s="143"/>
      <c r="J1004" s="143"/>
      <c r="K1004" s="119"/>
      <c r="L1004" s="119"/>
      <c r="M1004" s="119"/>
      <c r="N1004" s="119"/>
      <c r="O1004" s="119"/>
      <c r="P1004" s="119"/>
    </row>
    <row r="1005" spans="3:16" x14ac:dyDescent="0.2">
      <c r="C1005" s="119"/>
      <c r="D1005" s="119"/>
      <c r="E1005" s="119"/>
      <c r="F1005" s="119"/>
      <c r="G1005" s="119"/>
      <c r="H1005" s="119"/>
      <c r="I1005" s="143"/>
      <c r="J1005" s="143"/>
      <c r="K1005" s="119"/>
      <c r="L1005" s="119"/>
      <c r="M1005" s="119"/>
      <c r="N1005" s="119"/>
      <c r="O1005" s="119"/>
      <c r="P1005" s="119"/>
    </row>
    <row r="1006" spans="3:16" x14ac:dyDescent="0.2">
      <c r="C1006" s="119"/>
      <c r="D1006" s="119"/>
      <c r="E1006" s="119"/>
      <c r="F1006" s="119"/>
      <c r="G1006" s="119"/>
      <c r="H1006" s="119"/>
      <c r="I1006" s="143"/>
      <c r="J1006" s="143"/>
      <c r="K1006" s="119"/>
      <c r="L1006" s="119"/>
      <c r="M1006" s="119"/>
      <c r="N1006" s="119"/>
      <c r="O1006" s="119"/>
      <c r="P1006" s="119"/>
    </row>
    <row r="1007" spans="3:16" x14ac:dyDescent="0.2">
      <c r="C1007" s="119"/>
      <c r="D1007" s="119"/>
      <c r="E1007" s="119"/>
      <c r="F1007" s="119"/>
      <c r="G1007" s="119"/>
      <c r="H1007" s="119"/>
      <c r="I1007" s="143"/>
      <c r="J1007" s="143"/>
      <c r="K1007" s="119"/>
      <c r="L1007" s="119"/>
      <c r="M1007" s="119"/>
      <c r="N1007" s="119"/>
      <c r="O1007" s="119"/>
      <c r="P1007" s="119"/>
    </row>
    <row r="1008" spans="3:16" x14ac:dyDescent="0.2">
      <c r="C1008" s="119"/>
      <c r="D1008" s="119"/>
      <c r="E1008" s="119"/>
      <c r="F1008" s="119"/>
      <c r="G1008" s="119"/>
      <c r="H1008" s="119"/>
      <c r="I1008" s="143"/>
      <c r="J1008" s="143"/>
      <c r="K1008" s="119"/>
      <c r="L1008" s="119"/>
      <c r="M1008" s="119"/>
      <c r="N1008" s="119"/>
      <c r="O1008" s="119"/>
      <c r="P1008" s="119"/>
    </row>
    <row r="1009" spans="3:16" x14ac:dyDescent="0.2">
      <c r="C1009" s="119"/>
      <c r="D1009" s="119"/>
      <c r="E1009" s="119"/>
      <c r="F1009" s="119"/>
      <c r="G1009" s="119"/>
      <c r="H1009" s="119"/>
      <c r="I1009" s="143"/>
      <c r="J1009" s="143"/>
      <c r="K1009" s="119"/>
      <c r="L1009" s="119"/>
      <c r="M1009" s="119"/>
      <c r="N1009" s="119"/>
      <c r="O1009" s="119"/>
      <c r="P1009" s="119"/>
    </row>
    <row r="1010" spans="3:16" x14ac:dyDescent="0.2">
      <c r="C1010" s="119"/>
      <c r="D1010" s="119"/>
      <c r="E1010" s="119"/>
      <c r="F1010" s="119"/>
      <c r="G1010" s="119"/>
      <c r="H1010" s="119"/>
      <c r="I1010" s="143"/>
      <c r="J1010" s="143"/>
      <c r="K1010" s="119"/>
      <c r="L1010" s="119"/>
      <c r="M1010" s="119"/>
      <c r="N1010" s="119"/>
      <c r="O1010" s="119"/>
      <c r="P1010" s="119"/>
    </row>
    <row r="1011" spans="3:16" x14ac:dyDescent="0.2">
      <c r="C1011" s="119"/>
      <c r="D1011" s="119"/>
      <c r="E1011" s="119"/>
      <c r="F1011" s="119"/>
      <c r="G1011" s="119"/>
      <c r="H1011" s="119"/>
      <c r="I1011" s="143"/>
      <c r="J1011" s="143"/>
      <c r="K1011" s="119"/>
      <c r="L1011" s="119"/>
      <c r="M1011" s="119"/>
      <c r="N1011" s="119"/>
      <c r="O1011" s="119"/>
      <c r="P1011" s="119"/>
    </row>
    <row r="1012" spans="3:16" x14ac:dyDescent="0.2">
      <c r="C1012" s="119"/>
      <c r="D1012" s="119"/>
      <c r="E1012" s="119"/>
      <c r="F1012" s="119"/>
      <c r="G1012" s="119"/>
      <c r="H1012" s="119"/>
      <c r="I1012" s="143"/>
      <c r="J1012" s="143"/>
      <c r="K1012" s="119"/>
      <c r="L1012" s="119"/>
      <c r="M1012" s="119"/>
      <c r="N1012" s="119"/>
      <c r="O1012" s="119"/>
      <c r="P1012" s="119"/>
    </row>
    <row r="1013" spans="3:16" x14ac:dyDescent="0.2">
      <c r="C1013" s="119"/>
      <c r="D1013" s="119"/>
      <c r="E1013" s="119"/>
      <c r="F1013" s="119"/>
      <c r="G1013" s="119"/>
      <c r="H1013" s="119"/>
      <c r="I1013" s="143"/>
      <c r="J1013" s="143"/>
      <c r="K1013" s="119"/>
      <c r="L1013" s="119"/>
      <c r="M1013" s="119"/>
      <c r="N1013" s="119"/>
      <c r="O1013" s="119"/>
      <c r="P1013" s="119"/>
    </row>
    <row r="1014" spans="3:16" x14ac:dyDescent="0.2">
      <c r="C1014" s="119"/>
      <c r="D1014" s="119"/>
      <c r="E1014" s="119"/>
      <c r="F1014" s="119"/>
      <c r="G1014" s="119"/>
      <c r="H1014" s="119"/>
      <c r="I1014" s="143"/>
      <c r="J1014" s="143"/>
      <c r="K1014" s="119"/>
      <c r="L1014" s="119"/>
      <c r="M1014" s="119"/>
      <c r="N1014" s="119"/>
      <c r="O1014" s="119"/>
      <c r="P1014" s="119"/>
    </row>
    <row r="1015" spans="3:16" x14ac:dyDescent="0.2">
      <c r="C1015" s="119"/>
      <c r="D1015" s="119"/>
      <c r="E1015" s="119"/>
      <c r="F1015" s="119"/>
      <c r="G1015" s="119"/>
      <c r="H1015" s="119"/>
      <c r="I1015" s="143"/>
      <c r="J1015" s="143"/>
      <c r="K1015" s="119"/>
      <c r="L1015" s="119"/>
      <c r="M1015" s="119"/>
      <c r="N1015" s="119"/>
      <c r="O1015" s="119"/>
      <c r="P1015" s="119"/>
    </row>
    <row r="1016" spans="3:16" x14ac:dyDescent="0.2">
      <c r="C1016" s="119"/>
      <c r="D1016" s="119"/>
      <c r="E1016" s="119"/>
      <c r="F1016" s="119"/>
      <c r="G1016" s="119"/>
      <c r="H1016" s="119"/>
      <c r="I1016" s="143"/>
      <c r="J1016" s="143"/>
      <c r="K1016" s="119"/>
      <c r="L1016" s="119"/>
      <c r="M1016" s="119"/>
      <c r="N1016" s="119"/>
      <c r="O1016" s="119"/>
      <c r="P1016" s="119"/>
    </row>
    <row r="1017" spans="3:16" x14ac:dyDescent="0.2">
      <c r="C1017" s="119"/>
      <c r="D1017" s="119"/>
      <c r="E1017" s="119"/>
      <c r="F1017" s="119"/>
      <c r="G1017" s="119"/>
      <c r="H1017" s="119"/>
      <c r="I1017" s="143"/>
      <c r="J1017" s="143"/>
      <c r="K1017" s="119"/>
      <c r="L1017" s="119"/>
      <c r="M1017" s="119"/>
      <c r="N1017" s="119"/>
      <c r="O1017" s="119"/>
      <c r="P1017" s="119"/>
    </row>
    <row r="1018" spans="3:16" x14ac:dyDescent="0.2">
      <c r="C1018" s="119"/>
      <c r="D1018" s="119"/>
      <c r="E1018" s="119"/>
      <c r="F1018" s="119"/>
      <c r="G1018" s="119"/>
      <c r="H1018" s="119"/>
      <c r="I1018" s="143"/>
      <c r="J1018" s="143"/>
      <c r="K1018" s="119"/>
      <c r="L1018" s="119"/>
      <c r="M1018" s="119"/>
      <c r="N1018" s="119"/>
      <c r="O1018" s="119"/>
      <c r="P1018" s="119"/>
    </row>
    <row r="1019" spans="3:16" x14ac:dyDescent="0.2">
      <c r="C1019" s="119"/>
      <c r="D1019" s="119"/>
      <c r="E1019" s="119"/>
      <c r="F1019" s="119"/>
      <c r="G1019" s="119"/>
      <c r="H1019" s="119"/>
      <c r="I1019" s="143"/>
      <c r="J1019" s="143"/>
      <c r="K1019" s="119"/>
      <c r="L1019" s="119"/>
      <c r="M1019" s="119"/>
      <c r="N1019" s="119"/>
      <c r="O1019" s="119"/>
      <c r="P1019" s="119"/>
    </row>
  </sheetData>
  <mergeCells count="4">
    <mergeCell ref="A1:Q1"/>
    <mergeCell ref="O2:P2"/>
    <mergeCell ref="E2:N2"/>
    <mergeCell ref="A2:D2"/>
  </mergeCells>
  <conditionalFormatting sqref="H4:H24">
    <cfRule type="duplicateValues" dxfId="9" priority="54"/>
  </conditionalFormatting>
  <dataValidations count="2">
    <dataValidation type="list" allowBlank="1" showInputMessage="1" showErrorMessage="1" sqref="A25:D59" xr:uid="{9DEBF173-715F-CC40-9B8E-340FA939A8DB}">
      <formula1>#REF!</formula1>
    </dataValidation>
    <dataValidation type="list" allowBlank="1" showInputMessage="1" showErrorMessage="1" sqref="P4:P24" xr:uid="{A9A0FE77-2F7D-6949-B3E9-269D7D480362}">
      <formula1>"Yes, No"</formula1>
    </dataValidation>
  </dataValidations>
  <pageMargins left="0.7" right="0.7" top="0.75" bottom="0.75" header="0.3" footer="0.3"/>
  <pageSetup orientation="portrait" horizontalDpi="0" verticalDpi="0"/>
  <tableParts count="1">
    <tablePart r:id="rId1"/>
  </tableParts>
  <extLst>
    <ext xmlns:x14="http://schemas.microsoft.com/office/spreadsheetml/2009/9/main" uri="{78C0D931-6437-407d-A8EE-F0AAD7539E65}">
      <x14:conditionalFormattings>
        <x14:conditionalFormatting xmlns:xm="http://schemas.microsoft.com/office/excel/2006/main">
          <x14:cfRule type="expression" priority="503" stopIfTrue="1" id="{00000000-000E-0000-0900-00001F000000}">
            <xm:f>$O4=Lists!$U$5</xm:f>
            <x14:dxf>
              <font>
                <color rgb="FF9C0006"/>
              </font>
              <fill>
                <patternFill>
                  <bgColor rgb="FFFFC7CE"/>
                </patternFill>
              </fill>
            </x14:dxf>
          </x14:cfRule>
          <x14:cfRule type="expression" priority="504" id="{00000000-000E-0000-0900-000020000000}">
            <xm:f>$O4=Lists!$U$3</xm:f>
            <x14:dxf>
              <font>
                <color rgb="FF006100"/>
              </font>
              <fill>
                <patternFill>
                  <bgColor rgb="FFC6EFCE"/>
                </patternFill>
              </fill>
            </x14:dxf>
          </x14:cfRule>
          <x14:cfRule type="expression" priority="505" stopIfTrue="1" id="{00000000-000E-0000-0900-000021000000}">
            <xm:f>$O4=Lists!$U$4</xm:f>
            <x14:dxf>
              <font>
                <color rgb="FF9C5700"/>
              </font>
              <fill>
                <patternFill>
                  <bgColor rgb="FFFFEB9C"/>
                </patternFill>
              </fill>
            </x14:dxf>
          </x14:cfRule>
          <xm:sqref>A25:P100 A4:H24</xm:sqref>
        </x14:conditionalFormatting>
        <x14:conditionalFormatting xmlns:xm="http://schemas.microsoft.com/office/excel/2006/main">
          <x14:cfRule type="expression" priority="510" stopIfTrue="1" id="{00000000-000E-0000-0900-00001F000000}">
            <xm:f>$O4=Lists!$U$5</xm:f>
            <x14:dxf>
              <font>
                <color rgb="FF9C0006"/>
              </font>
              <fill>
                <patternFill>
                  <bgColor rgb="FFFFC7CE"/>
                </patternFill>
              </fill>
            </x14:dxf>
          </x14:cfRule>
          <x14:cfRule type="expression" priority="511" id="{00000000-000E-0000-0900-000020000000}">
            <xm:f>$O4=Lists!$U$3</xm:f>
            <x14:dxf>
              <font>
                <color rgb="FF006100"/>
              </font>
              <fill>
                <patternFill>
                  <bgColor rgb="FFC6EFCE"/>
                </patternFill>
              </fill>
            </x14:dxf>
          </x14:cfRule>
          <x14:cfRule type="expression" priority="512" stopIfTrue="1" id="{00000000-000E-0000-0900-000021000000}">
            <xm:f>$O4=Lists!$U$4</xm:f>
            <x14:dxf>
              <font>
                <color rgb="FF9C5700"/>
              </font>
              <fill>
                <patternFill>
                  <bgColor rgb="FFFFEB9C"/>
                </patternFill>
              </fill>
            </x14:dxf>
          </x14:cfRule>
          <xm:sqref>I4:P24</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4CDF366D-BE1F-AB43-A5BE-62EA0883B219}">
          <x14:formula1>
            <xm:f>Lists!$S$3:$S$5</xm:f>
          </x14:formula1>
          <xm:sqref>N35:N59 M34 N4:N33</xm:sqref>
        </x14:dataValidation>
        <x14:dataValidation type="list" allowBlank="1" showInputMessage="1" showErrorMessage="1" xr:uid="{9A0ABED6-144B-674E-BE62-A2471BB94595}">
          <x14:formula1>
            <xm:f>Lists!$M$3:$M$6</xm:f>
          </x14:formula1>
          <xm:sqref>L35:L59 K34 L4:L33</xm:sqref>
        </x14:dataValidation>
        <x14:dataValidation type="list" allowBlank="1" showInputMessage="1" showErrorMessage="1" xr:uid="{A5B8B3F4-F2CA-604A-81E3-C5651D2B561E}">
          <x14:formula1>
            <xm:f>Lists!$P$3:$P$5</xm:f>
          </x14:formula1>
          <xm:sqref>M35:M59 L34 M25:M33</xm:sqref>
        </x14:dataValidation>
        <x14:dataValidation type="list" allowBlank="1" showInputMessage="1" showErrorMessage="1" xr:uid="{EE614FF8-E89B-7C4C-8E38-FE947943622F}">
          <x14:formula1>
            <xm:f>Lists!$U$3:$U$6</xm:f>
          </x14:formula1>
          <xm:sqref>O25:P33 N34:O34 O35:P59 O4:O24</xm:sqref>
        </x14:dataValidation>
        <x14:dataValidation type="list" allowBlank="1" showInputMessage="1" showErrorMessage="1" xr:uid="{5BFC7127-D202-7948-8D20-1B078FD65A47}">
          <x14:formula1>
            <xm:f>Lists!$P$2:$P$5</xm:f>
          </x14:formula1>
          <xm:sqref>M4:M24</xm:sqref>
        </x14:dataValidation>
        <x14:dataValidation type="list" allowBlank="1" showInputMessage="1" showErrorMessage="1" xr:uid="{13D53C12-0378-7548-8530-5B60EBB273E0}">
          <x14:formula1>
            <xm:f>Lists!$K$3:$K$9</xm:f>
          </x14:formula1>
          <xm:sqref>A4:A24</xm:sqref>
        </x14:dataValidation>
        <x14:dataValidation type="list" allowBlank="1" showInputMessage="1" showErrorMessage="1" xr:uid="{018FEE17-CAB2-4547-8703-F20286FF7EB8}">
          <x14:formula1>
            <xm:f>'5. PESTLES Analysis'!$C$4:$C$24</xm:f>
          </x14:formula1>
          <xm:sqref>B4:B24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6F1E8-311C-954A-BD5A-E9FC35C91F39}">
  <sheetPr>
    <tabColor theme="9" tint="-0.499984740745262"/>
  </sheetPr>
  <dimension ref="A1:Z61"/>
  <sheetViews>
    <sheetView workbookViewId="0">
      <selection activeCell="B29" sqref="B29:B38"/>
    </sheetView>
  </sheetViews>
  <sheetFormatPr baseColWidth="10" defaultRowHeight="15" customHeight="1" x14ac:dyDescent="0.2"/>
  <cols>
    <col min="1" max="1" width="40.1640625" style="84" bestFit="1" customWidth="1"/>
    <col min="2" max="2" width="21.6640625" style="84" bestFit="1" customWidth="1"/>
    <col min="3" max="24" width="3.83203125" style="84" customWidth="1"/>
    <col min="25" max="25" width="6.1640625" style="84" customWidth="1"/>
    <col min="26" max="26" width="10.83203125" style="84" customWidth="1"/>
    <col min="27" max="28" width="3.83203125" style="84" customWidth="1"/>
    <col min="29" max="16384" width="10.83203125" style="84"/>
  </cols>
  <sheetData>
    <row r="1" spans="1:26" ht="15" customHeight="1" x14ac:dyDescent="0.2">
      <c r="A1" s="466" t="s">
        <v>134</v>
      </c>
      <c r="B1" s="467"/>
      <c r="C1" s="467"/>
      <c r="D1" s="467"/>
      <c r="E1" s="467"/>
      <c r="F1" s="467"/>
      <c r="G1" s="467"/>
      <c r="H1" s="467"/>
      <c r="I1" s="467"/>
      <c r="J1" s="467"/>
      <c r="K1" s="467"/>
      <c r="L1" s="467"/>
      <c r="M1" s="467"/>
      <c r="N1" s="467"/>
      <c r="O1" s="467"/>
      <c r="P1" s="467"/>
      <c r="Q1" s="467"/>
      <c r="R1" s="467"/>
      <c r="S1" s="467"/>
      <c r="T1" s="467"/>
      <c r="U1" s="467"/>
      <c r="V1" s="467"/>
      <c r="W1" s="467"/>
      <c r="X1" s="467"/>
      <c r="Y1" s="467"/>
      <c r="Z1" s="468"/>
    </row>
    <row r="2" spans="1:26" ht="15" customHeight="1" x14ac:dyDescent="0.2">
      <c r="A2" s="80" t="s">
        <v>2233</v>
      </c>
      <c r="B2" s="81" t="s">
        <v>43</v>
      </c>
      <c r="C2" s="82"/>
      <c r="D2" s="81"/>
      <c r="E2" s="81"/>
      <c r="F2" s="81"/>
      <c r="G2" s="81"/>
      <c r="H2" s="81"/>
      <c r="I2" s="81"/>
      <c r="J2" s="81"/>
      <c r="K2" s="81"/>
      <c r="L2" s="81"/>
      <c r="M2" s="81"/>
      <c r="N2" s="81"/>
      <c r="O2" s="81"/>
      <c r="P2" s="81"/>
      <c r="Q2" s="81"/>
      <c r="R2" s="81"/>
      <c r="S2" s="81"/>
      <c r="T2" s="81"/>
      <c r="U2" s="81"/>
      <c r="V2" s="81"/>
      <c r="W2" s="81"/>
      <c r="X2" s="81"/>
      <c r="Y2" s="81"/>
      <c r="Z2" s="83"/>
    </row>
    <row r="3" spans="1:26" s="91" customFormat="1" ht="15" customHeight="1" x14ac:dyDescent="0.2">
      <c r="A3" s="85" t="s">
        <v>200</v>
      </c>
      <c r="B3" s="86" t="s">
        <v>612</v>
      </c>
      <c r="C3" s="87" t="s">
        <v>40</v>
      </c>
      <c r="D3" s="88" cm="1">
        <f t="array" ref="D3:X3">TRANSPOSE(C4:C24)</f>
        <v>16</v>
      </c>
      <c r="E3" s="88">
        <v>7</v>
      </c>
      <c r="F3" s="88">
        <v>15</v>
      </c>
      <c r="G3" s="88">
        <v>13</v>
      </c>
      <c r="H3" s="88">
        <v>21</v>
      </c>
      <c r="I3" s="88">
        <v>8</v>
      </c>
      <c r="J3" s="88" t="str">
        <v/>
      </c>
      <c r="K3" s="88" t="str">
        <v/>
      </c>
      <c r="L3" s="88" t="str">
        <v/>
      </c>
      <c r="M3" s="88" t="str">
        <v/>
      </c>
      <c r="N3" s="88" t="str">
        <v/>
      </c>
      <c r="O3" s="88" t="str">
        <v/>
      </c>
      <c r="P3" s="88" t="str">
        <v/>
      </c>
      <c r="Q3" s="88" t="str">
        <v/>
      </c>
      <c r="R3" s="88" t="str">
        <v/>
      </c>
      <c r="S3" s="88" t="str">
        <v/>
      </c>
      <c r="T3" s="88" t="str">
        <v/>
      </c>
      <c r="U3" s="88" t="str">
        <v/>
      </c>
      <c r="V3" s="88" t="str">
        <v/>
      </c>
      <c r="W3" s="88" t="str">
        <v/>
      </c>
      <c r="X3" s="88" t="str">
        <v/>
      </c>
      <c r="Y3" s="89" t="s">
        <v>445</v>
      </c>
      <c r="Z3" s="90" t="s">
        <v>444</v>
      </c>
    </row>
    <row r="4" spans="1:26" ht="15" customHeight="1" x14ac:dyDescent="0.2">
      <c r="A4" s="92" t="str" cm="1">
        <f t="array" ref="A4:A9">_xlfn._xlws.SORT(_xlfn._xlws.FILTER(Drivers[Driver Short Name],Drivers[Driver Classification]=B$2),,1)</f>
        <v>Climate Change and Extreme Weather</v>
      </c>
      <c r="B4" s="92" t="str">
        <f>IF('8. Modified Driver Corr. Grid'!$A4="","",_xlfn.XLOOKUP('8. Modified Driver Corr. Grid'!$A4,Drivers[Driver Short Name],Drivers[Driver Classification]))</f>
        <v>Pre-Determined Factor</v>
      </c>
      <c r="C4" s="93">
        <f>IF(A4="","",_xlfn.XLOOKUP(A4,Drivers[Driver Short Name],Drivers[Driv '#]))</f>
        <v>16</v>
      </c>
      <c r="D4" s="94"/>
      <c r="E4" s="95"/>
      <c r="F4" s="95"/>
      <c r="G4" s="95"/>
      <c r="H4" s="95"/>
      <c r="I4" s="95"/>
      <c r="J4" s="95"/>
      <c r="K4" s="95"/>
      <c r="L4" s="95"/>
      <c r="M4" s="95"/>
      <c r="N4" s="95"/>
      <c r="O4" s="95"/>
      <c r="P4" s="95"/>
      <c r="Q4" s="95"/>
      <c r="R4" s="95"/>
      <c r="S4" s="95"/>
      <c r="T4" s="95"/>
      <c r="U4" s="95"/>
      <c r="V4" s="95"/>
      <c r="W4" s="95"/>
      <c r="X4" s="95"/>
      <c r="Y4" s="96">
        <f>IF(A4="","",COUNTIF($D4:$X4,"+")+COUNTIF($D4:$X4,"-")+COUNTIF(D$4:D$24,"+")+COUNTIF(D$4:D$24,"-")+1)</f>
        <v>1</v>
      </c>
      <c r="Z4" s="97" t="str" cm="1">
        <f t="array" ref="Z4">_xlfn.TEXTJOIN("; ",TRUE,_xlfn._xlws.SORT(_xlfn.VSTACK(C4,TRANSPOSE(_xlfn._xlws.FILTER(_xlfn.ANCHORARRAY(D3),D4:X4="+","")),TRANSPOSE(_xlfn._xlws.FILTER(_xlfn.ANCHORARRAY(D3),D4:X4="-","")),_xlfn._xlws.FILTER($C$4:$C$24,D4:D24="+",""),_xlfn._xlws.FILTER($C$4:$C$24,D4:D24="-",""))))</f>
        <v>16</v>
      </c>
    </row>
    <row r="5" spans="1:26" ht="15" customHeight="1" x14ac:dyDescent="0.2">
      <c r="A5" s="92" t="str">
        <v>Demographic Shifts and Education Gaps</v>
      </c>
      <c r="B5" s="92" t="str">
        <f>IF('8. Modified Driver Corr. Grid'!$A5="","",_xlfn.XLOOKUP('8. Modified Driver Corr. Grid'!$A5,Drivers[Driver Short Name],Drivers[Driver Classification]))</f>
        <v>Pre-Determined Factor</v>
      </c>
      <c r="C5" s="93">
        <f>IF(A5="","",_xlfn.XLOOKUP(A5,Drivers[Driver Short Name],Drivers[Driv '#]))</f>
        <v>7</v>
      </c>
      <c r="D5" s="98">
        <v>0</v>
      </c>
      <c r="E5" s="95"/>
      <c r="F5" s="95"/>
      <c r="G5" s="95"/>
      <c r="H5" s="95"/>
      <c r="I5" s="95"/>
      <c r="J5" s="95"/>
      <c r="K5" s="95"/>
      <c r="L5" s="95"/>
      <c r="M5" s="95"/>
      <c r="N5" s="95"/>
      <c r="O5" s="95"/>
      <c r="P5" s="95"/>
      <c r="Q5" s="95"/>
      <c r="R5" s="95"/>
      <c r="S5" s="95"/>
      <c r="T5" s="95"/>
      <c r="U5" s="95"/>
      <c r="V5" s="95"/>
      <c r="W5" s="95"/>
      <c r="X5" s="95"/>
      <c r="Y5" s="96">
        <f>IF(A5="","",COUNTIF($D5:$X5,"+")+COUNTIF($D5:$X5,"-")+COUNTIF(E$4:E$24,"+")+COUNTIF(E$4:E$24,"-")+1)</f>
        <v>1</v>
      </c>
      <c r="Z5" s="97" t="str" cm="1">
        <f t="array" ref="Z5">_xlfn.TEXTJOIN("; ",TRUE,_xlfn._xlws.SORT(_xlfn.VSTACK(C5,TRANSPOSE(_xlfn._xlws.FILTER(_xlfn.ANCHORARRAY(D3),D5:X5="+","")),TRANSPOSE(_xlfn._xlws.FILTER(_xlfn.ANCHORARRAY(D3),D5:X5="-","")),_xlfn._xlws.FILTER($C$4:$C$24,E4:E24="+",""),_xlfn._xlws.FILTER($C$4:$C$24,E4:E24="-",""))))</f>
        <v>7</v>
      </c>
    </row>
    <row r="6" spans="1:26" ht="15" customHeight="1" x14ac:dyDescent="0.2">
      <c r="A6" s="92" t="str">
        <v>Geopolitical Alignment and Human Rights</v>
      </c>
      <c r="B6" s="92" t="str">
        <f>IF('8. Modified Driver Corr. Grid'!$A6="","",_xlfn.XLOOKUP('8. Modified Driver Corr. Grid'!$A6,Drivers[Driver Short Name],Drivers[Driver Classification]))</f>
        <v>Pre-Determined Factor</v>
      </c>
      <c r="C6" s="93">
        <f>IF(A6="","",_xlfn.XLOOKUP(A6,Drivers[Driver Short Name],Drivers[Driv '#]))</f>
        <v>15</v>
      </c>
      <c r="D6" s="98">
        <v>0</v>
      </c>
      <c r="E6" s="98">
        <v>0</v>
      </c>
      <c r="F6" s="95"/>
      <c r="G6" s="95"/>
      <c r="H6" s="95"/>
      <c r="I6" s="95"/>
      <c r="J6" s="95"/>
      <c r="K6" s="95"/>
      <c r="L6" s="95"/>
      <c r="M6" s="95"/>
      <c r="N6" s="95"/>
      <c r="O6" s="95"/>
      <c r="P6" s="95"/>
      <c r="Q6" s="95"/>
      <c r="R6" s="95"/>
      <c r="S6" s="95"/>
      <c r="T6" s="95"/>
      <c r="U6" s="95"/>
      <c r="V6" s="95"/>
      <c r="W6" s="95"/>
      <c r="X6" s="95"/>
      <c r="Y6" s="96">
        <f>IF(A6="","",COUNTIF($D6:$X6,"+")+COUNTIF($D6:$X6,"-")+COUNTIF(F$4:F$24,"+")+COUNTIF(F$4:F$24,"-")+1)</f>
        <v>3</v>
      </c>
      <c r="Z6" s="97" t="str" cm="1">
        <f t="array" ref="Z6">_xlfn.TEXTJOIN("; ",TRUE,_xlfn._xlws.SORT(_xlfn.VSTACK(C6,TRANSPOSE(_xlfn._xlws.FILTER(_xlfn.ANCHORARRAY(D3),D6:X6="+","")),TRANSPOSE(_xlfn._xlws.FILTER(_xlfn.ANCHORARRAY(D3),D6:X6="-","")),_xlfn._xlws.FILTER($C$4:$C$24,F4:F24="+",""),_xlfn._xlws.FILTER($C$4:$C$24,F4:F24="-",""))))</f>
        <v>13; 15; 21</v>
      </c>
    </row>
    <row r="7" spans="1:26" ht="15" customHeight="1" x14ac:dyDescent="0.2">
      <c r="A7" s="92" t="str">
        <v>Global Anti-Corruption Enforcement Intensification</v>
      </c>
      <c r="B7" s="92" t="str">
        <f>IF('8. Modified Driver Corr. Grid'!$A7="","",_xlfn.XLOOKUP('8. Modified Driver Corr. Grid'!$A7,Drivers[Driver Short Name],Drivers[Driver Classification]))</f>
        <v>Pre-Determined Factor</v>
      </c>
      <c r="C7" s="93">
        <f>IF(A7="","",_xlfn.XLOOKUP(A7,Drivers[Driver Short Name],Drivers[Driv '#]))</f>
        <v>13</v>
      </c>
      <c r="D7" s="98">
        <v>0</v>
      </c>
      <c r="E7" s="98">
        <v>0</v>
      </c>
      <c r="F7" s="98" t="s">
        <v>48</v>
      </c>
      <c r="G7" s="95"/>
      <c r="H7" s="95"/>
      <c r="I7" s="95"/>
      <c r="J7" s="95"/>
      <c r="K7" s="95"/>
      <c r="L7" s="95"/>
      <c r="M7" s="95"/>
      <c r="N7" s="95"/>
      <c r="O7" s="95"/>
      <c r="P7" s="95"/>
      <c r="Q7" s="95"/>
      <c r="R7" s="95"/>
      <c r="S7" s="95"/>
      <c r="T7" s="95"/>
      <c r="U7" s="95"/>
      <c r="V7" s="95"/>
      <c r="W7" s="95"/>
      <c r="X7" s="95"/>
      <c r="Y7" s="96">
        <f>IF(A7="","",COUNTIF($D7:$X7,"+")+COUNTIF($D7:$X7,"-")+COUNTIF(G$4:G$24,"+")+COUNTIF(G$4:G$24,"-")+1)</f>
        <v>3</v>
      </c>
      <c r="Z7" s="97" t="str" cm="1">
        <f t="array" ref="Z7">_xlfn.TEXTJOIN("; ",TRUE,_xlfn._xlws.SORT(_xlfn.VSTACK(C7,TRANSPOSE(_xlfn._xlws.FILTER(_xlfn.ANCHORARRAY(D3),D7:X7="+","")),TRANSPOSE(_xlfn._xlws.FILTER(_xlfn.ANCHORARRAY(D3),D7:X7="-","")),_xlfn._xlws.FILTER($C$4:$C$24,G4:G24="+",""),_xlfn._xlws.FILTER($C$4:$C$24,G4:G24="-",""))))</f>
        <v>13; 15; 21</v>
      </c>
    </row>
    <row r="8" spans="1:26" ht="15" customHeight="1" x14ac:dyDescent="0.2">
      <c r="A8" s="92" t="str">
        <v>Nation-State Cyber Espionage Campaigns</v>
      </c>
      <c r="B8" s="92" t="str">
        <f>IF('8. Modified Driver Corr. Grid'!$A8="","",_xlfn.XLOOKUP('8. Modified Driver Corr. Grid'!$A8,Drivers[Driver Short Name],Drivers[Driver Classification]))</f>
        <v>Pre-Determined Factor</v>
      </c>
      <c r="C8" s="93">
        <f>IF(A8="","",_xlfn.XLOOKUP(A8,Drivers[Driver Short Name],Drivers[Driv '#]))</f>
        <v>21</v>
      </c>
      <c r="D8" s="98">
        <v>0</v>
      </c>
      <c r="E8" s="98">
        <v>0</v>
      </c>
      <c r="F8" s="98" t="s">
        <v>48</v>
      </c>
      <c r="G8" s="98" t="s">
        <v>48</v>
      </c>
      <c r="H8" s="95"/>
      <c r="I8" s="95"/>
      <c r="J8" s="95"/>
      <c r="K8" s="95"/>
      <c r="L8" s="95"/>
      <c r="M8" s="95"/>
      <c r="N8" s="95"/>
      <c r="O8" s="95"/>
      <c r="P8" s="95"/>
      <c r="Q8" s="95"/>
      <c r="R8" s="95"/>
      <c r="S8" s="95"/>
      <c r="T8" s="95"/>
      <c r="U8" s="95"/>
      <c r="V8" s="95"/>
      <c r="W8" s="95"/>
      <c r="X8" s="95"/>
      <c r="Y8" s="96">
        <f>IF(A8="","",COUNTIF($D8:$X8,"+")+COUNTIF($D8:$X8,"-")+COUNTIF(H$4:H$24,"+")+COUNTIF(H$4:H$24,"-")+1)</f>
        <v>3</v>
      </c>
      <c r="Z8" s="97" t="str" cm="1">
        <f t="array" ref="Z8">_xlfn.TEXTJOIN("; ",TRUE,_xlfn._xlws.SORT(_xlfn.VSTACK(C8,TRANSPOSE(_xlfn._xlws.FILTER(_xlfn.ANCHORARRAY(D3),D8:X8="+","")),TRANSPOSE(_xlfn._xlws.FILTER(_xlfn.ANCHORARRAY(D3),D8:X8="-","")),_xlfn._xlws.FILTER($C$4:$C$24,H4:H24="+",""),_xlfn._xlws.FILTER($C$4:$C$24,H4:H24="-",""))))</f>
        <v>13; 15; 21</v>
      </c>
    </row>
    <row r="9" spans="1:26" ht="15" customHeight="1" x14ac:dyDescent="0.2">
      <c r="A9" s="92" t="str">
        <v>Relationship-Based Commerce and Trust</v>
      </c>
      <c r="B9" s="92" t="str">
        <f>IF('8. Modified Driver Corr. Grid'!$A9="","",_xlfn.XLOOKUP('8. Modified Driver Corr. Grid'!$A9,Drivers[Driver Short Name],Drivers[Driver Classification]))</f>
        <v>Pre-Determined Factor</v>
      </c>
      <c r="C9" s="93">
        <f>IF(A9="","",_xlfn.XLOOKUP(A9,Drivers[Driver Short Name],Drivers[Driv '#]))</f>
        <v>8</v>
      </c>
      <c r="D9" s="98">
        <v>0</v>
      </c>
      <c r="E9" s="98">
        <v>0</v>
      </c>
      <c r="F9" s="98">
        <v>0</v>
      </c>
      <c r="G9" s="98">
        <v>0</v>
      </c>
      <c r="H9" s="98">
        <v>0</v>
      </c>
      <c r="I9" s="95"/>
      <c r="J9" s="95"/>
      <c r="K9" s="95"/>
      <c r="L9" s="95"/>
      <c r="M9" s="95"/>
      <c r="N9" s="95"/>
      <c r="O9" s="95"/>
      <c r="P9" s="95"/>
      <c r="Q9" s="95"/>
      <c r="R9" s="95"/>
      <c r="S9" s="95"/>
      <c r="T9" s="95"/>
      <c r="U9" s="95"/>
      <c r="V9" s="95"/>
      <c r="W9" s="95"/>
      <c r="X9" s="95"/>
      <c r="Y9" s="96">
        <f>IF(A9="","",COUNTIF($D9:$X9,"+")+COUNTIF($D9:$X9,"-")+COUNTIF(I$4:I$24,"+")+COUNTIF(I$4:I$24,"-")+1)</f>
        <v>1</v>
      </c>
      <c r="Z9" s="97" t="str" cm="1">
        <f t="array" ref="Z9">_xlfn.TEXTJOIN("; ",TRUE,_xlfn._xlws.SORT(_xlfn.VSTACK(C9,TRANSPOSE(_xlfn._xlws.FILTER(_xlfn.ANCHORARRAY(D3),D9:X9="+","")),TRANSPOSE(_xlfn._xlws.FILTER(_xlfn.ANCHORARRAY(D3),D9:X9="-","")),_xlfn._xlws.FILTER($C$4:$C$24,I4:I24="+",""),_xlfn._xlws.FILTER($C$4:$C$24,I4:I24="-",""))))</f>
        <v>8</v>
      </c>
    </row>
    <row r="10" spans="1:26" ht="15" customHeight="1" x14ac:dyDescent="0.2">
      <c r="A10" s="92"/>
      <c r="B10" s="92" t="str">
        <f>IF('8. Modified Driver Corr. Grid'!$A10="","",_xlfn.XLOOKUP('8. Modified Driver Corr. Grid'!$A10,Drivers[Driver Short Name],Drivers[Driver Classification]))</f>
        <v/>
      </c>
      <c r="C10" s="93" t="str">
        <f>IF(A10="","",_xlfn.XLOOKUP(A10,Drivers[Driver Short Name],Drivers[Driv '#]))</f>
        <v/>
      </c>
      <c r="D10" s="98"/>
      <c r="E10" s="98"/>
      <c r="F10" s="98"/>
      <c r="G10" s="98"/>
      <c r="H10" s="98"/>
      <c r="I10" s="98"/>
      <c r="J10" s="95"/>
      <c r="K10" s="95"/>
      <c r="L10" s="95"/>
      <c r="M10" s="95"/>
      <c r="N10" s="95"/>
      <c r="O10" s="95"/>
      <c r="P10" s="95"/>
      <c r="Q10" s="95"/>
      <c r="R10" s="95"/>
      <c r="S10" s="95"/>
      <c r="T10" s="95"/>
      <c r="U10" s="95"/>
      <c r="V10" s="95"/>
      <c r="W10" s="95"/>
      <c r="X10" s="95"/>
      <c r="Y10" s="96" t="str">
        <f>IF(A10="","",COUNTIF($D10:$X10,"+")+COUNTIF($D10:$X10,"-")+COUNTIF(J$4:J$24,"+")+COUNTIF(J$4:J$24,"-")+1)</f>
        <v/>
      </c>
      <c r="Z10" s="97" t="str" cm="1">
        <f t="array" ref="Z10">_xlfn.TEXTJOIN("; ",TRUE,_xlfn._xlws.SORT(_xlfn.VSTACK(C10,TRANSPOSE(_xlfn._xlws.FILTER(_xlfn.ANCHORARRAY(D3),D10:X10="+","")),TRANSPOSE(_xlfn._xlws.FILTER(_xlfn.ANCHORARRAY(D3),D10:X10="-","")),_xlfn._xlws.FILTER($C$4:$C$24,J4:J24="+",""),_xlfn._xlws.FILTER($C$4:$C$24,J4:J24="-",""))))</f>
        <v/>
      </c>
    </row>
    <row r="11" spans="1:26" ht="15" customHeight="1" x14ac:dyDescent="0.2">
      <c r="A11" s="92"/>
      <c r="B11" s="92" t="str">
        <f>IF('8. Modified Driver Corr. Grid'!$A11="","",_xlfn.XLOOKUP('8. Modified Driver Corr. Grid'!$A11,Drivers[Driver Short Name],Drivers[Driver Classification]))</f>
        <v/>
      </c>
      <c r="C11" s="93" t="str">
        <f>IF(A11="","",_xlfn.XLOOKUP(A11,Drivers[Driver Short Name],Drivers[Driv '#]))</f>
        <v/>
      </c>
      <c r="D11" s="98"/>
      <c r="E11" s="98"/>
      <c r="F11" s="98"/>
      <c r="G11" s="98"/>
      <c r="H11" s="98"/>
      <c r="I11" s="98"/>
      <c r="J11" s="98"/>
      <c r="K11" s="95"/>
      <c r="L11" s="99"/>
      <c r="M11" s="99"/>
      <c r="N11" s="99"/>
      <c r="O11" s="99"/>
      <c r="P11" s="99"/>
      <c r="Q11" s="99"/>
      <c r="R11" s="99"/>
      <c r="S11" s="99"/>
      <c r="T11" s="99"/>
      <c r="U11" s="99"/>
      <c r="V11" s="99"/>
      <c r="W11" s="99"/>
      <c r="X11" s="99"/>
      <c r="Y11" s="96" t="str">
        <f>IF(A11="","",COUNTIF($D11:$X11,"+")+COUNTIF($D11:$X11,"-")+COUNTIF(K$4:K$24,"+")+COUNTIF(K$4:K$24,"-")+1)</f>
        <v/>
      </c>
      <c r="Z11" s="97" t="str" cm="1">
        <f t="array" ref="Z11">_xlfn.TEXTJOIN("; ",TRUE,_xlfn._xlws.SORT(_xlfn.VSTACK(C11,TRANSPOSE(_xlfn._xlws.FILTER(_xlfn.ANCHORARRAY(D3),D11:X11="+","")),TRANSPOSE(_xlfn._xlws.FILTER(_xlfn.ANCHORARRAY(D3),D11:X11="-","")),_xlfn._xlws.FILTER($C$4:$C$24,K4:K24="+",""),_xlfn._xlws.FILTER($C$4:$C$24,K4:K24="-",""))))</f>
        <v/>
      </c>
    </row>
    <row r="12" spans="1:26" ht="15" customHeight="1" x14ac:dyDescent="0.2">
      <c r="A12" s="92"/>
      <c r="B12" s="92" t="str">
        <f>IF('8. Modified Driver Corr. Grid'!$A12="","",_xlfn.XLOOKUP('8. Modified Driver Corr. Grid'!$A12,Drivers[Driver Short Name],Drivers[Driver Classification]))</f>
        <v/>
      </c>
      <c r="C12" s="93" t="str">
        <f>IF(A12="","",_xlfn.XLOOKUP(A12,Drivers[Driver Short Name],Drivers[Driv '#]))</f>
        <v/>
      </c>
      <c r="D12" s="98"/>
      <c r="E12" s="98"/>
      <c r="F12" s="98"/>
      <c r="G12" s="98"/>
      <c r="H12" s="98"/>
      <c r="I12" s="98"/>
      <c r="J12" s="98"/>
      <c r="K12" s="98"/>
      <c r="L12" s="99"/>
      <c r="M12" s="99"/>
      <c r="N12" s="99"/>
      <c r="O12" s="99"/>
      <c r="P12" s="99"/>
      <c r="Q12" s="99"/>
      <c r="R12" s="99"/>
      <c r="S12" s="99"/>
      <c r="T12" s="99"/>
      <c r="U12" s="99"/>
      <c r="V12" s="99"/>
      <c r="W12" s="99"/>
      <c r="X12" s="99"/>
      <c r="Y12" s="96" t="str">
        <f>IF(A12="","",COUNTIF($D12:$X12,"+")+COUNTIF($D12:$X12,"-")+COUNTIF(L$4:L$24,"+")+COUNTIF(L$4:L$24,"-")+1)</f>
        <v/>
      </c>
      <c r="Z12" s="97" t="str" cm="1">
        <f t="array" ref="Z12">_xlfn.TEXTJOIN("; ",TRUE,_xlfn._xlws.SORT(_xlfn.VSTACK(C12,TRANSPOSE(_xlfn._xlws.FILTER(_xlfn.ANCHORARRAY(D3),D12:X12="+","")),TRANSPOSE(_xlfn._xlws.FILTER(_xlfn.ANCHORARRAY(D3),D12:X12="-","")),_xlfn._xlws.FILTER($C$4:$C$24,L4:L24="+",""),_xlfn._xlws.FILTER($C$4:$C$24,L4:L24="-",""))))</f>
        <v/>
      </c>
    </row>
    <row r="13" spans="1:26" ht="15" customHeight="1" x14ac:dyDescent="0.2">
      <c r="A13" s="92"/>
      <c r="B13" s="92" t="str">
        <f>IF('8. Modified Driver Corr. Grid'!$A13="","",_xlfn.XLOOKUP('8. Modified Driver Corr. Grid'!$A13,Drivers[Driver Short Name],Drivers[Driver Classification]))</f>
        <v/>
      </c>
      <c r="C13" s="93" t="str">
        <f>IF(A13="","",_xlfn.XLOOKUP(A13,Drivers[Driver Short Name],Drivers[Driv '#]))</f>
        <v/>
      </c>
      <c r="D13" s="98"/>
      <c r="E13" s="98"/>
      <c r="F13" s="98"/>
      <c r="G13" s="98"/>
      <c r="H13" s="98"/>
      <c r="I13" s="98"/>
      <c r="J13" s="98"/>
      <c r="K13" s="98"/>
      <c r="L13" s="98"/>
      <c r="M13" s="99"/>
      <c r="N13" s="99"/>
      <c r="O13" s="99"/>
      <c r="P13" s="99"/>
      <c r="Q13" s="99"/>
      <c r="R13" s="99"/>
      <c r="S13" s="99"/>
      <c r="T13" s="99"/>
      <c r="U13" s="99"/>
      <c r="V13" s="99"/>
      <c r="W13" s="99"/>
      <c r="X13" s="99"/>
      <c r="Y13" s="96" t="str">
        <f>IF(A13="","",COUNTIF($D13:$X13,"+")+COUNTIF($D13:$X13,"-")+COUNTIF(M$4:M$24,"+")+COUNTIF(M$4:M$24,"-")+1)</f>
        <v/>
      </c>
      <c r="Z13" s="97" t="str" cm="1">
        <f t="array" ref="Z13">_xlfn.TEXTJOIN("; ",TRUE,_xlfn._xlws.SORT(_xlfn.VSTACK(C13,TRANSPOSE(_xlfn._xlws.FILTER(_xlfn.ANCHORARRAY(D3),D13:X13="+","")),TRANSPOSE(_xlfn._xlws.FILTER(_xlfn.ANCHORARRAY(D3),D13:X13="-","")),_xlfn._xlws.FILTER($C$4:$C$24,M4:M24="+",""),_xlfn._xlws.FILTER($C$4:$C$24,M4:M24="-",""))))</f>
        <v/>
      </c>
    </row>
    <row r="14" spans="1:26" ht="15" customHeight="1" x14ac:dyDescent="0.2">
      <c r="A14" s="92"/>
      <c r="B14" s="92" t="str">
        <f>IF('8. Modified Driver Corr. Grid'!$A14="","",_xlfn.XLOOKUP('8. Modified Driver Corr. Grid'!$A14,Drivers[Driver Short Name],Drivers[Driver Classification]))</f>
        <v/>
      </c>
      <c r="C14" s="93" t="str">
        <f>IF(A14="","",_xlfn.XLOOKUP(A14,Drivers[Driver Short Name],Drivers[Driv '#]))</f>
        <v/>
      </c>
      <c r="D14" s="98"/>
      <c r="E14" s="98"/>
      <c r="F14" s="98"/>
      <c r="G14" s="98"/>
      <c r="H14" s="98"/>
      <c r="I14" s="98"/>
      <c r="J14" s="98"/>
      <c r="K14" s="98"/>
      <c r="L14" s="98"/>
      <c r="M14" s="98"/>
      <c r="N14" s="99"/>
      <c r="O14" s="99"/>
      <c r="P14" s="99"/>
      <c r="Q14" s="99"/>
      <c r="R14" s="99"/>
      <c r="S14" s="99"/>
      <c r="T14" s="99"/>
      <c r="U14" s="99"/>
      <c r="V14" s="99"/>
      <c r="W14" s="99"/>
      <c r="X14" s="99"/>
      <c r="Y14" s="96" t="str">
        <f>IF(A14="","",COUNTIF($D14:$X14,"+")+COUNTIF($D14:$X14,"-")+COUNTIF(N$4:N$24,"+")+COUNTIF(N$4:N$24,"-")+1)</f>
        <v/>
      </c>
      <c r="Z14" s="97" t="str" cm="1">
        <f t="array" ref="Z14">_xlfn.TEXTJOIN("; ",TRUE,_xlfn._xlws.SORT(_xlfn.VSTACK(C14,TRANSPOSE(_xlfn._xlws.FILTER(_xlfn.ANCHORARRAY(D3),D14:X14="+","")),TRANSPOSE(_xlfn._xlws.FILTER(_xlfn.ANCHORARRAY(D3),D14:X14="-","")),_xlfn._xlws.FILTER($C$4:$C$24,N4:N24="+",""),_xlfn._xlws.FILTER($C$4:$C$24,N4:N24="-",""))))</f>
        <v/>
      </c>
    </row>
    <row r="15" spans="1:26" ht="15" customHeight="1" x14ac:dyDescent="0.2">
      <c r="A15" s="92"/>
      <c r="B15" s="92" t="str">
        <f>IF('8. Modified Driver Corr. Grid'!$A15="","",_xlfn.XLOOKUP('8. Modified Driver Corr. Grid'!$A15,Drivers[Driver Short Name],Drivers[Driver Classification]))</f>
        <v/>
      </c>
      <c r="C15" s="93" t="str">
        <f>IF(A15="","",_xlfn.XLOOKUP(A15,Drivers[Driver Short Name],Drivers[Driv '#]))</f>
        <v/>
      </c>
      <c r="D15" s="98"/>
      <c r="E15" s="98"/>
      <c r="F15" s="98"/>
      <c r="G15" s="98"/>
      <c r="H15" s="98"/>
      <c r="I15" s="98"/>
      <c r="J15" s="98"/>
      <c r="K15" s="98"/>
      <c r="L15" s="98"/>
      <c r="M15" s="98"/>
      <c r="N15" s="98"/>
      <c r="O15" s="99"/>
      <c r="P15" s="99"/>
      <c r="Q15" s="99"/>
      <c r="R15" s="99"/>
      <c r="S15" s="99"/>
      <c r="T15" s="99"/>
      <c r="U15" s="99"/>
      <c r="V15" s="99"/>
      <c r="W15" s="99"/>
      <c r="X15" s="99"/>
      <c r="Y15" s="96" t="str">
        <f>IF(A15="","",COUNTIF($D15:$X15,"+")+COUNTIF($D15:$X15,"-")+COUNTIF(O$4:O$24,"+")+COUNTIF(O$4:O$24,"-")+1)</f>
        <v/>
      </c>
      <c r="Z15" s="97" t="str" cm="1">
        <f t="array" ref="Z15">_xlfn.TEXTJOIN("; ",TRUE,_xlfn._xlws.SORT(_xlfn.VSTACK(C15,TRANSPOSE(_xlfn._xlws.FILTER(_xlfn.ANCHORARRAY(D3),D15:X15="+","")),TRANSPOSE(_xlfn._xlws.FILTER(_xlfn.ANCHORARRAY(D3),D15:X15="-","")),_xlfn._xlws.FILTER($C$4:$C$24,O4:O24="+",""),_xlfn._xlws.FILTER($C$4:$C$24,O4:O24="-",""))))</f>
        <v/>
      </c>
    </row>
    <row r="16" spans="1:26" ht="15" customHeight="1" x14ac:dyDescent="0.2">
      <c r="A16" s="92"/>
      <c r="B16" s="92" t="str">
        <f>IF('8. Modified Driver Corr. Grid'!$A16="","",_xlfn.XLOOKUP('8. Modified Driver Corr. Grid'!$A16,Drivers[Driver Short Name],Drivers[Driver Classification]))</f>
        <v/>
      </c>
      <c r="C16" s="93" t="str">
        <f>IF(A16="","",_xlfn.XLOOKUP(A16,Drivers[Driver Short Name],Drivers[Driv '#]))</f>
        <v/>
      </c>
      <c r="D16" s="98"/>
      <c r="E16" s="98"/>
      <c r="F16" s="98"/>
      <c r="G16" s="98"/>
      <c r="H16" s="98"/>
      <c r="I16" s="98"/>
      <c r="J16" s="98"/>
      <c r="K16" s="98"/>
      <c r="L16" s="98"/>
      <c r="M16" s="98"/>
      <c r="N16" s="98"/>
      <c r="O16" s="98"/>
      <c r="P16" s="99"/>
      <c r="Q16" s="99"/>
      <c r="R16" s="99"/>
      <c r="S16" s="99"/>
      <c r="T16" s="99"/>
      <c r="U16" s="99"/>
      <c r="V16" s="99"/>
      <c r="W16" s="99"/>
      <c r="X16" s="99"/>
      <c r="Y16" s="96" t="str">
        <f>IF(A16="","",COUNTIF($D16:$X16,"+")+COUNTIF($D16:$X16,"-")+COUNTIF(P$4:P$24,"+")+COUNTIF(P$4:P$24,"-")+1)</f>
        <v/>
      </c>
      <c r="Z16" s="97" t="str" cm="1">
        <f t="array" ref="Z16">_xlfn.TEXTJOIN("; ",TRUE,_xlfn._xlws.SORT(_xlfn.VSTACK(C16,TRANSPOSE(_xlfn._xlws.FILTER(_xlfn.ANCHORARRAY(D3),D16:X16="+","")),TRANSPOSE(_xlfn._xlws.FILTER(_xlfn.ANCHORARRAY(D3),D16:X16="-","")),_xlfn._xlws.FILTER($C$4:$C$24,P4:P24="+",""),_xlfn._xlws.FILTER($C$4:$C$24,P4:P24="-",""))))</f>
        <v/>
      </c>
    </row>
    <row r="17" spans="1:26" ht="15" customHeight="1" x14ac:dyDescent="0.2">
      <c r="A17" s="92"/>
      <c r="B17" s="92" t="str">
        <f>IF('8. Modified Driver Corr. Grid'!$A17="","",_xlfn.XLOOKUP('8. Modified Driver Corr. Grid'!$A17,Drivers[Driver Short Name],Drivers[Driver Classification]))</f>
        <v/>
      </c>
      <c r="C17" s="93" t="str">
        <f>IF(A17="","",_xlfn.XLOOKUP(A17,Drivers[Driver Short Name],Drivers[Driv '#]))</f>
        <v/>
      </c>
      <c r="D17" s="98"/>
      <c r="E17" s="98"/>
      <c r="F17" s="98"/>
      <c r="G17" s="98"/>
      <c r="H17" s="98"/>
      <c r="I17" s="98"/>
      <c r="J17" s="98"/>
      <c r="K17" s="98"/>
      <c r="L17" s="98"/>
      <c r="M17" s="98"/>
      <c r="N17" s="98"/>
      <c r="O17" s="98"/>
      <c r="P17" s="98"/>
      <c r="Q17" s="99"/>
      <c r="R17" s="99"/>
      <c r="S17" s="99"/>
      <c r="T17" s="99"/>
      <c r="U17" s="99"/>
      <c r="V17" s="99"/>
      <c r="W17" s="99"/>
      <c r="X17" s="99"/>
      <c r="Y17" s="96" t="str">
        <f>IF(A17="","",COUNTIF($D17:$X17,"+")+COUNTIF($D17:$X17,"-")+COUNTIF(Q$4:Q$24,"+")+COUNTIF(Q$4:Q$24,"-")+1)</f>
        <v/>
      </c>
      <c r="Z17" s="97" t="str" cm="1">
        <f t="array" ref="Z17">_xlfn.TEXTJOIN("; ",TRUE,_xlfn._xlws.SORT(_xlfn.VSTACK(C17,TRANSPOSE(_xlfn._xlws.FILTER(_xlfn.ANCHORARRAY(D3),D17:X17="+","")),TRANSPOSE(_xlfn._xlws.FILTER(_xlfn.ANCHORARRAY(D3),D17:X17="-","")),_xlfn._xlws.FILTER($C$4:$C$24,Q4:Q24="+",""),_xlfn._xlws.FILTER($C$4:$C$24,Q4:Q24="-",""))))</f>
        <v/>
      </c>
    </row>
    <row r="18" spans="1:26" ht="15" customHeight="1" x14ac:dyDescent="0.2">
      <c r="A18" s="92"/>
      <c r="B18" s="92" t="str">
        <f>IF('8. Modified Driver Corr. Grid'!$A18="","",_xlfn.XLOOKUP('8. Modified Driver Corr. Grid'!$A18,Drivers[Driver Short Name],Drivers[Driver Classification]))</f>
        <v/>
      </c>
      <c r="C18" s="93" t="str">
        <f>IF(A18="","",_xlfn.XLOOKUP(A18,Drivers[Driver Short Name],Drivers[Driv '#]))</f>
        <v/>
      </c>
      <c r="D18" s="98"/>
      <c r="E18" s="98"/>
      <c r="F18" s="98"/>
      <c r="G18" s="98"/>
      <c r="H18" s="98"/>
      <c r="I18" s="98"/>
      <c r="J18" s="98"/>
      <c r="K18" s="98"/>
      <c r="L18" s="98"/>
      <c r="M18" s="98"/>
      <c r="N18" s="98"/>
      <c r="O18" s="98"/>
      <c r="P18" s="98"/>
      <c r="Q18" s="98"/>
      <c r="R18" s="99"/>
      <c r="S18" s="99"/>
      <c r="T18" s="99"/>
      <c r="U18" s="99"/>
      <c r="V18" s="99"/>
      <c r="W18" s="99"/>
      <c r="X18" s="99"/>
      <c r="Y18" s="96" t="str">
        <f>IF(A18="","",COUNTIF($D18:$X18,"+")+COUNTIF($D18:$X18,"-")+COUNTIF(R$4:R$24,"+")+COUNTIF(R$4:R$24,"-")+1)</f>
        <v/>
      </c>
      <c r="Z18" s="97" t="str" cm="1">
        <f t="array" ref="Z18">_xlfn.TEXTJOIN("; ",TRUE,_xlfn._xlws.SORT(_xlfn.VSTACK(C18,TRANSPOSE(_xlfn._xlws.FILTER(_xlfn.ANCHORARRAY(D3),D18:X18="+","")),TRANSPOSE(_xlfn._xlws.FILTER(_xlfn.ANCHORARRAY(D3),D18:X18="-","")),_xlfn._xlws.FILTER($C$4:$C$24,R4:R24="+",""),_xlfn._xlws.FILTER($C$4:$C$24,R4:R24="-",""))))</f>
        <v/>
      </c>
    </row>
    <row r="19" spans="1:26" ht="15" customHeight="1" x14ac:dyDescent="0.2">
      <c r="A19" s="92"/>
      <c r="B19" s="92" t="str">
        <f>IF('8. Modified Driver Corr. Grid'!$A19="","",_xlfn.XLOOKUP('8. Modified Driver Corr. Grid'!$A19,Drivers[Driver Short Name],Drivers[Driver Classification]))</f>
        <v/>
      </c>
      <c r="C19" s="93" t="str">
        <f>IF(A19="","",_xlfn.XLOOKUP(A19,Drivers[Driver Short Name],Drivers[Driv '#]))</f>
        <v/>
      </c>
      <c r="D19" s="98"/>
      <c r="E19" s="98"/>
      <c r="F19" s="98"/>
      <c r="G19" s="98"/>
      <c r="H19" s="98"/>
      <c r="I19" s="98"/>
      <c r="J19" s="98"/>
      <c r="K19" s="98"/>
      <c r="L19" s="98"/>
      <c r="M19" s="98"/>
      <c r="N19" s="98"/>
      <c r="O19" s="98"/>
      <c r="P19" s="98"/>
      <c r="Q19" s="98"/>
      <c r="R19" s="98"/>
      <c r="S19" s="99"/>
      <c r="T19" s="99"/>
      <c r="U19" s="99"/>
      <c r="V19" s="99"/>
      <c r="W19" s="99"/>
      <c r="X19" s="99"/>
      <c r="Y19" s="96" t="str">
        <f>IF(A19="","",COUNTIF($D19:$X19,"+")+COUNTIF($D19:$X19,"-")+COUNTIF(S$4:S$24,"+")+COUNTIF(S$4:S$24,"-")+1)</f>
        <v/>
      </c>
      <c r="Z19" s="97" t="str" cm="1">
        <f t="array" ref="Z19">_xlfn.TEXTJOIN("; ",TRUE,_xlfn._xlws.SORT(_xlfn.VSTACK(C19,TRANSPOSE(_xlfn._xlws.FILTER(_xlfn.ANCHORARRAY(D3),D19:X19="+","")),TRANSPOSE(_xlfn._xlws.FILTER(_xlfn.ANCHORARRAY(D3),D19:X19="-","")),_xlfn._xlws.FILTER($C$4:$C$24,S4:S24="+",""),_xlfn._xlws.FILTER($C$4:$C$24,S4:S24="-",""))))</f>
        <v/>
      </c>
    </row>
    <row r="20" spans="1:26" ht="15" customHeight="1" x14ac:dyDescent="0.2">
      <c r="A20" s="92"/>
      <c r="B20" s="92" t="str">
        <f>IF('8. Modified Driver Corr. Grid'!$A20="","",_xlfn.XLOOKUP('8. Modified Driver Corr. Grid'!$A20,Drivers[Driver Short Name],Drivers[Driver Classification]))</f>
        <v/>
      </c>
      <c r="C20" s="93" t="str">
        <f>IF(A20="","",_xlfn.XLOOKUP(A20,Drivers[Driver Short Name],Drivers[Driv '#]))</f>
        <v/>
      </c>
      <c r="D20" s="98"/>
      <c r="E20" s="98"/>
      <c r="F20" s="98"/>
      <c r="G20" s="98"/>
      <c r="H20" s="98"/>
      <c r="I20" s="98"/>
      <c r="J20" s="98"/>
      <c r="K20" s="98"/>
      <c r="L20" s="98"/>
      <c r="M20" s="98"/>
      <c r="N20" s="98"/>
      <c r="O20" s="98"/>
      <c r="P20" s="98"/>
      <c r="Q20" s="98"/>
      <c r="R20" s="98"/>
      <c r="S20" s="98"/>
      <c r="T20" s="99"/>
      <c r="U20" s="99"/>
      <c r="V20" s="99"/>
      <c r="W20" s="99"/>
      <c r="X20" s="99"/>
      <c r="Y20" s="96" t="str">
        <f>IF(A20="","",COUNTIF($D20:$X20,"+")+COUNTIF($D20:$X20,"-")+COUNTIF(T$4:T$24,"+")+COUNTIF(T$4:T$24,"-")+1)</f>
        <v/>
      </c>
      <c r="Z20" s="97" t="str" cm="1">
        <f t="array" ref="Z20">_xlfn.TEXTJOIN("; ",TRUE,_xlfn._xlws.SORT(_xlfn.VSTACK(C20,TRANSPOSE(_xlfn._xlws.FILTER(_xlfn.ANCHORARRAY(D3),D20:X20="+","")),TRANSPOSE(_xlfn._xlws.FILTER(_xlfn.ANCHORARRAY(D3),D20:X20="-","")),_xlfn._xlws.FILTER($C$4:$C$24,T4:T24="+",""),_xlfn._xlws.FILTER($C$4:$C$24,T4:T24="-",""))))</f>
        <v/>
      </c>
    </row>
    <row r="21" spans="1:26" ht="15" customHeight="1" x14ac:dyDescent="0.2">
      <c r="A21" s="92"/>
      <c r="B21" s="92" t="str">
        <f>IF('8. Modified Driver Corr. Grid'!$A21="","",_xlfn.XLOOKUP('8. Modified Driver Corr. Grid'!$A21,Drivers[Driver Short Name],Drivers[Driver Classification]))</f>
        <v/>
      </c>
      <c r="C21" s="93" t="str">
        <f>IF(A21="","",_xlfn.XLOOKUP(A21,Drivers[Driver Short Name],Drivers[Driv '#]))</f>
        <v/>
      </c>
      <c r="D21" s="98"/>
      <c r="E21" s="98"/>
      <c r="F21" s="98"/>
      <c r="G21" s="98"/>
      <c r="H21" s="98"/>
      <c r="I21" s="98"/>
      <c r="J21" s="98"/>
      <c r="K21" s="98"/>
      <c r="L21" s="98"/>
      <c r="M21" s="98"/>
      <c r="N21" s="98"/>
      <c r="O21" s="98"/>
      <c r="P21" s="98"/>
      <c r="Q21" s="98"/>
      <c r="R21" s="98"/>
      <c r="S21" s="98"/>
      <c r="T21" s="98"/>
      <c r="U21" s="99"/>
      <c r="V21" s="99"/>
      <c r="W21" s="99"/>
      <c r="X21" s="99"/>
      <c r="Y21" s="96" t="str">
        <f>IF(A21="","",COUNTIF($D21:$X21,"+")+COUNTIF($D21:$X21,"-")+COUNTIF(U$4:U$24,"+")+COUNTIF(U$4:U$24,"-")+1)</f>
        <v/>
      </c>
      <c r="Z21" s="97" t="str" cm="1">
        <f t="array" ref="Z21">_xlfn.TEXTJOIN("; ",TRUE,_xlfn._xlws.SORT(_xlfn.VSTACK(C21,TRANSPOSE(_xlfn._xlws.FILTER(_xlfn.ANCHORARRAY(D3),D21:X21="+","")),TRANSPOSE(_xlfn._xlws.FILTER(_xlfn.ANCHORARRAY(D3),D21:X21="-","")),_xlfn._xlws.FILTER($C$4:$C$24,U4:U24="+",""),_xlfn._xlws.FILTER($C$4:$C$24,U4:U24="-",""))))</f>
        <v/>
      </c>
    </row>
    <row r="22" spans="1:26" ht="15" customHeight="1" x14ac:dyDescent="0.2">
      <c r="A22" s="92"/>
      <c r="B22" s="92" t="str">
        <f>IF('8. Modified Driver Corr. Grid'!$A22="","",_xlfn.XLOOKUP('8. Modified Driver Corr. Grid'!$A22,Drivers[Driver Short Name],Drivers[Driver Classification]))</f>
        <v/>
      </c>
      <c r="C22" s="93" t="str">
        <f>IF(A22="","",_xlfn.XLOOKUP(A22,Drivers[Driver Short Name],Drivers[Driv '#]))</f>
        <v/>
      </c>
      <c r="D22" s="100"/>
      <c r="E22" s="100"/>
      <c r="F22" s="100"/>
      <c r="G22" s="100"/>
      <c r="H22" s="100"/>
      <c r="I22" s="100"/>
      <c r="J22" s="100"/>
      <c r="K22" s="100"/>
      <c r="L22" s="100"/>
      <c r="M22" s="100"/>
      <c r="N22" s="100"/>
      <c r="O22" s="100"/>
      <c r="P22" s="100"/>
      <c r="Q22" s="100"/>
      <c r="R22" s="101"/>
      <c r="S22" s="100"/>
      <c r="T22" s="101"/>
      <c r="U22" s="101"/>
      <c r="V22" s="99"/>
      <c r="W22" s="99"/>
      <c r="X22" s="99"/>
      <c r="Y22" s="96" t="str">
        <f>IF(A22="","",COUNTIF($D22:$X22,"+")+COUNTIF($D22:$X22,"-")+COUNTIF(V$4:V$24,"+")+COUNTIF(V$4:V$24,"-")+1)</f>
        <v/>
      </c>
      <c r="Z22" s="97" t="str" cm="1">
        <f t="array" ref="Z22">_xlfn.TEXTJOIN("; ",TRUE,_xlfn._xlws.SORT(_xlfn.VSTACK(C22,TRANSPOSE(_xlfn._xlws.FILTER(_xlfn.ANCHORARRAY(D3),D22:X22="+","")),TRANSPOSE(_xlfn._xlws.FILTER(_xlfn.ANCHORARRAY(D3),D22:X22="-","")),_xlfn._xlws.FILTER($C$4:$C$24,V4:V24="+",""),_xlfn._xlws.FILTER($C$4:$C$24,V4:V24="-",""))))</f>
        <v/>
      </c>
    </row>
    <row r="23" spans="1:26" ht="15" customHeight="1" x14ac:dyDescent="0.2">
      <c r="A23" s="92"/>
      <c r="B23" s="92" t="str">
        <f>IF('8. Modified Driver Corr. Grid'!$A23="","",_xlfn.XLOOKUP('8. Modified Driver Corr. Grid'!$A23,Drivers[Driver Short Name],Drivers[Driver Classification]))</f>
        <v/>
      </c>
      <c r="C23" s="93" t="str">
        <f>IF(A23="","",_xlfn.XLOOKUP(A23,Drivers[Driver Short Name],Drivers[Driv '#]))</f>
        <v/>
      </c>
      <c r="D23" s="100"/>
      <c r="E23" s="100"/>
      <c r="F23" s="100"/>
      <c r="G23" s="100"/>
      <c r="H23" s="100"/>
      <c r="I23" s="100"/>
      <c r="J23" s="100"/>
      <c r="K23" s="100"/>
      <c r="L23" s="100"/>
      <c r="M23" s="100"/>
      <c r="N23" s="100"/>
      <c r="O23" s="100"/>
      <c r="P23" s="100"/>
      <c r="Q23" s="100"/>
      <c r="R23" s="101"/>
      <c r="S23" s="100"/>
      <c r="T23" s="101"/>
      <c r="U23" s="101"/>
      <c r="V23" s="101"/>
      <c r="W23" s="99"/>
      <c r="X23" s="99"/>
      <c r="Y23" s="96" t="str">
        <f>IF(A23="","",COUNTIF($D23:$X23,"+")+COUNTIF($D23:$X23,"-")+COUNTIF(V$4:V$24,"+")+COUNTIF(V$4:V$24,"-")+1)</f>
        <v/>
      </c>
      <c r="Z23" s="97" t="str" cm="1">
        <f t="array" ref="Z23">_xlfn.TEXTJOIN("; ",TRUE,_xlfn._xlws.SORT(_xlfn.VSTACK(C23,TRANSPOSE(_xlfn._xlws.FILTER(_xlfn.ANCHORARRAY(D3),D23:X23="+","")),TRANSPOSE(_xlfn._xlws.FILTER(_xlfn.ANCHORARRAY(D3),D23:X23="-","")),_xlfn._xlws.FILTER($C$4:$C$24,V4:V24="+",""),_xlfn._xlws.FILTER($C$4:$C$24,V4:V24="-",""))))</f>
        <v/>
      </c>
    </row>
    <row r="24" spans="1:26" ht="15" customHeight="1" x14ac:dyDescent="0.2">
      <c r="A24" s="102"/>
      <c r="B24" s="102" t="str">
        <f>IF('8. Modified Driver Corr. Grid'!$A24="","",_xlfn.XLOOKUP('8. Modified Driver Corr. Grid'!$A24,Drivers[Driver Short Name],Drivers[Driver Classification]))</f>
        <v/>
      </c>
      <c r="C24" s="103" t="str">
        <f>IF(A24="","",_xlfn.XLOOKUP(A24,Drivers[Driver Short Name],Drivers[Driv '#]))</f>
        <v/>
      </c>
      <c r="D24" s="104"/>
      <c r="E24" s="104"/>
      <c r="F24" s="104"/>
      <c r="G24" s="104"/>
      <c r="H24" s="104"/>
      <c r="I24" s="104"/>
      <c r="J24" s="104"/>
      <c r="K24" s="104"/>
      <c r="L24" s="104"/>
      <c r="M24" s="104"/>
      <c r="N24" s="104"/>
      <c r="O24" s="104"/>
      <c r="P24" s="104"/>
      <c r="Q24" s="104"/>
      <c r="R24" s="105"/>
      <c r="S24" s="104"/>
      <c r="T24" s="105"/>
      <c r="U24" s="105"/>
      <c r="V24" s="105"/>
      <c r="W24" s="105"/>
      <c r="X24" s="106"/>
      <c r="Y24" s="107" t="str">
        <f>IF(A24="","",COUNTIF($D24:$X24,"+")+COUNTIF($D24:$X24,"-")+COUNTIF(X$4:X$24,"+")+COUNTIF(X$4:X$24,"-")+1)</f>
        <v/>
      </c>
      <c r="Z24" s="108" t="str" cm="1">
        <f t="array" ref="Z24">_xlfn.TEXTJOIN("; ",TRUE,_xlfn._xlws.SORT(_xlfn.VSTACK(C24,TRANSPOSE(_xlfn._xlws.FILTER(_xlfn.ANCHORARRAY(D3),D24:X24="+","")),TRANSPOSE(_xlfn._xlws.FILTER(_xlfn.ANCHORARRAY(D3),D24:X24="-","")),_xlfn._xlws.FILTER($C$4:$C$24,V4:V24="+",""),_xlfn._xlws.FILTER($C$4:$C$24,V4:V24="-",""))))</f>
        <v/>
      </c>
    </row>
    <row r="27" spans="1:26" ht="15" customHeight="1" x14ac:dyDescent="0.2">
      <c r="A27" s="80" t="s">
        <v>2233</v>
      </c>
      <c r="B27" s="81" t="s">
        <v>44</v>
      </c>
      <c r="C27" s="82"/>
      <c r="D27" s="81"/>
      <c r="E27" s="81"/>
      <c r="F27" s="81"/>
      <c r="G27" s="81"/>
      <c r="H27" s="81"/>
      <c r="I27" s="81"/>
      <c r="J27" s="81"/>
      <c r="K27" s="81"/>
      <c r="L27" s="81"/>
      <c r="M27" s="81"/>
      <c r="N27" s="81"/>
      <c r="O27" s="81"/>
      <c r="P27" s="81"/>
      <c r="Q27" s="81"/>
      <c r="R27" s="81"/>
      <c r="S27" s="81"/>
      <c r="T27" s="81"/>
      <c r="U27" s="81"/>
      <c r="V27" s="81"/>
      <c r="W27" s="81"/>
      <c r="X27" s="81"/>
      <c r="Y27" s="81"/>
      <c r="Z27" s="83"/>
    </row>
    <row r="28" spans="1:26" ht="15" customHeight="1" x14ac:dyDescent="0.2">
      <c r="A28" s="85" t="s">
        <v>200</v>
      </c>
      <c r="B28" s="86" t="s">
        <v>612</v>
      </c>
      <c r="C28" s="87" t="s">
        <v>40</v>
      </c>
      <c r="D28" s="88" cm="1">
        <f t="array" ref="D28:X28">TRANSPOSE(C29:C49)</f>
        <v>10</v>
      </c>
      <c r="E28" s="88">
        <v>11</v>
      </c>
      <c r="F28" s="88">
        <v>20</v>
      </c>
      <c r="G28" s="88">
        <v>1</v>
      </c>
      <c r="H28" s="88">
        <v>2</v>
      </c>
      <c r="I28" s="88">
        <v>12</v>
      </c>
      <c r="J28" s="88">
        <v>19</v>
      </c>
      <c r="K28" s="88">
        <v>4</v>
      </c>
      <c r="L28" s="88">
        <v>3</v>
      </c>
      <c r="M28" s="88">
        <v>9</v>
      </c>
      <c r="N28" s="88" t="str">
        <v/>
      </c>
      <c r="O28" s="88" t="str">
        <v/>
      </c>
      <c r="P28" s="88" t="str">
        <v/>
      </c>
      <c r="Q28" s="88" t="str">
        <v/>
      </c>
      <c r="R28" s="88" t="str">
        <v/>
      </c>
      <c r="S28" s="88" t="str">
        <v/>
      </c>
      <c r="T28" s="88" t="str">
        <v/>
      </c>
      <c r="U28" s="88" t="str">
        <v/>
      </c>
      <c r="V28" s="88" t="str">
        <v/>
      </c>
      <c r="W28" s="88" t="str">
        <v/>
      </c>
      <c r="X28" s="88" t="str">
        <v/>
      </c>
      <c r="Y28" s="89" t="s">
        <v>445</v>
      </c>
      <c r="Z28" s="90" t="s">
        <v>444</v>
      </c>
    </row>
    <row r="29" spans="1:26" ht="15" customHeight="1" x14ac:dyDescent="0.2">
      <c r="A29" s="92" t="str" cm="1">
        <f t="array" ref="A29:A38">_xlfn._xlws.SORT(_xlfn._xlws.FILTER(Drivers[Driver Short Name],Drivers[Driver Classification]=B$27),,1)</f>
        <v>Artificial Intelligence Military Applications</v>
      </c>
      <c r="B29" s="92" t="str">
        <f>IF('8. Modified Driver Corr. Grid'!$A29="","",_xlfn.XLOOKUP('8. Modified Driver Corr. Grid'!$A29,Drivers[Driver Short Name],Drivers[Driver Classification]))</f>
        <v>Critical Uncertainty</v>
      </c>
      <c r="C29" s="93">
        <f>IF(A29="","",_xlfn.XLOOKUP(A29,Drivers[Driver Short Name],Drivers[Driv '#]))</f>
        <v>10</v>
      </c>
      <c r="D29" s="94"/>
      <c r="E29" s="95"/>
      <c r="F29" s="95"/>
      <c r="G29" s="95"/>
      <c r="H29" s="95"/>
      <c r="I29" s="95"/>
      <c r="J29" s="95"/>
      <c r="K29" s="95"/>
      <c r="L29" s="95"/>
      <c r="M29" s="95"/>
      <c r="N29" s="95"/>
      <c r="O29" s="95"/>
      <c r="P29" s="95"/>
      <c r="Q29" s="95"/>
      <c r="R29" s="95"/>
      <c r="S29" s="95"/>
      <c r="T29" s="95"/>
      <c r="U29" s="95"/>
      <c r="V29" s="95"/>
      <c r="W29" s="95"/>
      <c r="X29" s="95"/>
      <c r="Y29" s="96">
        <f>IF(A29="","",COUNTIF($D29:$X29,"+")+COUNTIF($D29:$X29,"-")+COUNTIF(D$29:D$49,"+")+COUNTIF(D$29:D$49,"-")+1)</f>
        <v>3</v>
      </c>
      <c r="Z29" s="97" t="str" cm="1">
        <f t="array" ref="Z29">_xlfn.TEXTJOIN("; ",TRUE,_xlfn._xlws.SORT(_xlfn.VSTACK(C29,TRANSPOSE(_xlfn._xlws.FILTER(_xlfn.ANCHORARRAY(D28),D29:X29="+","")),TRANSPOSE(_xlfn._xlws.FILTER(_xlfn.ANCHORARRAY(D28),D29:X29="-","")),_xlfn._xlws.FILTER(C29:C49,D29:D49="+",""),_xlfn._xlws.FILTER(C29:C49,D29:D49="-",""))))</f>
        <v>10; 11; 12</v>
      </c>
    </row>
    <row r="30" spans="1:26" ht="15" customHeight="1" x14ac:dyDescent="0.2">
      <c r="A30" s="92" t="str">
        <v>Drone and Precision Weapon Proliferation</v>
      </c>
      <c r="B30" s="92" t="str">
        <f>IF('8. Modified Driver Corr. Grid'!$A30="","",_xlfn.XLOOKUP('8. Modified Driver Corr. Grid'!$A30,Drivers[Driver Short Name],Drivers[Driver Classification]))</f>
        <v>Critical Uncertainty</v>
      </c>
      <c r="C30" s="93">
        <f>IF(A30="","",_xlfn.XLOOKUP(A30,Drivers[Driver Short Name],Drivers[Driv '#]))</f>
        <v>11</v>
      </c>
      <c r="D30" s="98" t="s">
        <v>48</v>
      </c>
      <c r="E30" s="95"/>
      <c r="F30" s="95"/>
      <c r="G30" s="95"/>
      <c r="H30" s="95"/>
      <c r="I30" s="95"/>
      <c r="J30" s="95"/>
      <c r="K30" s="95"/>
      <c r="L30" s="95"/>
      <c r="M30" s="95"/>
      <c r="N30" s="95"/>
      <c r="O30" s="95"/>
      <c r="P30" s="95"/>
      <c r="Q30" s="95"/>
      <c r="R30" s="95"/>
      <c r="S30" s="95"/>
      <c r="T30" s="95"/>
      <c r="U30" s="95"/>
      <c r="V30" s="95"/>
      <c r="W30" s="95"/>
      <c r="X30" s="95"/>
      <c r="Y30" s="96">
        <f>IF(A30="","",COUNTIF($D30:$X30,"+")+COUNTIF($D30:$X30,"-")+COUNTIF(E$29:E$49,"+")+COUNTIF(E$29:E$49,"-")+1)</f>
        <v>3</v>
      </c>
      <c r="Z30" s="97" t="str" cm="1">
        <f t="array" ref="Z30">_xlfn.TEXTJOIN("; ",TRUE,_xlfn._xlws.SORT(_xlfn.VSTACK(C30,TRANSPOSE(_xlfn._xlws.FILTER(_xlfn.ANCHORARRAY(D28),D30:X30="+","")),TRANSPOSE(_xlfn._xlws.FILTER(_xlfn.ANCHORARRAY(D28),D30:X30="-","")),_xlfn._xlws.FILTER(C29:C49,E29:E49="+",""),_xlfn._xlws.FILTER(C29:C49,E29:E49="-",""))))</f>
        <v>10; 11; 12</v>
      </c>
    </row>
    <row r="31" spans="1:26" ht="15" customHeight="1" x14ac:dyDescent="0.2">
      <c r="A31" s="92" t="str">
        <v>Extremism and Separatist Movement Persistence</v>
      </c>
      <c r="B31" s="92" t="str">
        <f>IF('8. Modified Driver Corr. Grid'!$A31="","",_xlfn.XLOOKUP('8. Modified Driver Corr. Grid'!$A31,Drivers[Driver Short Name],Drivers[Driver Classification]))</f>
        <v>Critical Uncertainty</v>
      </c>
      <c r="C31" s="93">
        <f>IF(A31="","",_xlfn.XLOOKUP(A31,Drivers[Driver Short Name],Drivers[Driv '#]))</f>
        <v>20</v>
      </c>
      <c r="D31" s="98">
        <v>0</v>
      </c>
      <c r="E31" s="98">
        <v>0</v>
      </c>
      <c r="F31" s="95"/>
      <c r="G31" s="95"/>
      <c r="H31" s="95"/>
      <c r="I31" s="95"/>
      <c r="J31" s="95"/>
      <c r="K31" s="95"/>
      <c r="L31" s="95"/>
      <c r="M31" s="95"/>
      <c r="N31" s="95"/>
      <c r="O31" s="95"/>
      <c r="P31" s="95"/>
      <c r="Q31" s="95"/>
      <c r="R31" s="95"/>
      <c r="S31" s="95"/>
      <c r="T31" s="95"/>
      <c r="U31" s="95"/>
      <c r="V31" s="95"/>
      <c r="W31" s="95"/>
      <c r="X31" s="95"/>
      <c r="Y31" s="96">
        <f>IF(A31="","",COUNTIF($D31:$X31,"+")+COUNTIF($D31:$X31,"-")+COUNTIF(F$29:F$49,"+")+COUNTIF(F$29:F$49,"-")+1)</f>
        <v>1</v>
      </c>
      <c r="Z31" s="97" t="str" cm="1">
        <f t="array" ref="Z31">_xlfn.TEXTJOIN("; ",TRUE,_xlfn._xlws.SORT(_xlfn.VSTACK(C31,TRANSPOSE(_xlfn._xlws.FILTER(_xlfn.ANCHORARRAY(D28),D31:X31="+","")),TRANSPOSE(_xlfn._xlws.FILTER(_xlfn.ANCHORARRAY(D28),D31:X31="-","")),_xlfn._xlws.FILTER(C29:C49,F29:F49="+",""),_xlfn._xlws.FILTER(C29:C49,F29:F49="-",""))))</f>
        <v>20</v>
      </c>
    </row>
    <row r="32" spans="1:26" ht="15" customHeight="1" x14ac:dyDescent="0.2">
      <c r="A32" s="92" t="str">
        <v>Fiscal Constraint and Deficit Reduction</v>
      </c>
      <c r="B32" s="92" t="str">
        <f>IF('8. Modified Driver Corr. Grid'!$A32="","",_xlfn.XLOOKUP('8. Modified Driver Corr. Grid'!$A32,Drivers[Driver Short Name],Drivers[Driver Classification]))</f>
        <v>Critical Uncertainty</v>
      </c>
      <c r="C32" s="93">
        <f>IF(A32="","",_xlfn.XLOOKUP(A32,Drivers[Driver Short Name],Drivers[Driv '#]))</f>
        <v>1</v>
      </c>
      <c r="D32" s="98">
        <v>0</v>
      </c>
      <c r="E32" s="98">
        <v>0</v>
      </c>
      <c r="F32" s="98">
        <v>0</v>
      </c>
      <c r="G32" s="95"/>
      <c r="H32" s="95"/>
      <c r="I32" s="95"/>
      <c r="J32" s="95"/>
      <c r="K32" s="95"/>
      <c r="L32" s="95"/>
      <c r="M32" s="95"/>
      <c r="N32" s="95"/>
      <c r="O32" s="95"/>
      <c r="P32" s="95"/>
      <c r="Q32" s="95"/>
      <c r="R32" s="95"/>
      <c r="S32" s="95"/>
      <c r="T32" s="95"/>
      <c r="U32" s="95"/>
      <c r="V32" s="95"/>
      <c r="W32" s="95"/>
      <c r="X32" s="95"/>
      <c r="Y32" s="96">
        <f>IF(A32="","",COUNTIF($D32:$X32,"+")+COUNTIF($D32:$X32,"-")+COUNTIF(G$29:G$49,"+")+COUNTIF(G$29:G$49,"-")+1)</f>
        <v>2</v>
      </c>
      <c r="Z32" s="97" t="str" cm="1">
        <f t="array" ref="Z32">_xlfn.TEXTJOIN("; ",TRUE,_xlfn._xlws.SORT(_xlfn.VSTACK(C32,TRANSPOSE(_xlfn._xlws.FILTER(_xlfn.ANCHORARRAY(D28),D32:X32="+","")),TRANSPOSE(_xlfn._xlws.FILTER(_xlfn.ANCHORARRAY(D28),D32:X32="-","")),_xlfn._xlws.FILTER(C29:C49,G29:G49="+",""),_xlfn._xlws.FILTER(C29:C49,G29:G49="-",""))))</f>
        <v>1; 9</v>
      </c>
    </row>
    <row r="33" spans="1:26" ht="15" customHeight="1" x14ac:dyDescent="0.2">
      <c r="A33" s="92" t="str">
        <v>Geopolitical Competition and Security Concerns</v>
      </c>
      <c r="B33" s="92" t="str">
        <f>IF('8. Modified Driver Corr. Grid'!$A33="","",_xlfn.XLOOKUP('8. Modified Driver Corr. Grid'!$A33,Drivers[Driver Short Name],Drivers[Driver Classification]))</f>
        <v>Critical Uncertainty</v>
      </c>
      <c r="C33" s="93">
        <f>IF(A33="","",_xlfn.XLOOKUP(A33,Drivers[Driver Short Name],Drivers[Driv '#]))</f>
        <v>2</v>
      </c>
      <c r="D33" s="98">
        <v>0</v>
      </c>
      <c r="E33" s="98">
        <v>0</v>
      </c>
      <c r="F33" s="98">
        <v>0</v>
      </c>
      <c r="G33" s="98">
        <v>0</v>
      </c>
      <c r="H33" s="95"/>
      <c r="I33" s="95"/>
      <c r="J33" s="95"/>
      <c r="K33" s="95"/>
      <c r="L33" s="95"/>
      <c r="M33" s="95"/>
      <c r="N33" s="95"/>
      <c r="O33" s="95"/>
      <c r="P33" s="95"/>
      <c r="Q33" s="95"/>
      <c r="R33" s="95"/>
      <c r="S33" s="95"/>
      <c r="T33" s="95"/>
      <c r="U33" s="95"/>
      <c r="V33" s="95"/>
      <c r="W33" s="95"/>
      <c r="X33" s="95"/>
      <c r="Y33" s="96">
        <f>IF(A33="","",COUNTIF($D33:$X33,"+")+COUNTIF($D33:$X33,"-")+COUNTIF(H$29:H$49,"+")+COUNTIF(H$29:H$49,"-")+1)</f>
        <v>4</v>
      </c>
      <c r="Z33" s="97" t="str" cm="1">
        <f t="array" ref="Z33">_xlfn.TEXTJOIN("; ",TRUE,_xlfn._xlws.SORT(_xlfn.VSTACK(C33,TRANSPOSE(_xlfn._xlws.FILTER(_xlfn.ANCHORARRAY(D28),D33:X33="+","")),TRANSPOSE(_xlfn._xlws.FILTER(_xlfn.ANCHORARRAY(D28),D33:X33="-","")),_xlfn._xlws.FILTER(C29:C49,H29:H49="+",""),_xlfn._xlws.FILTER(C29:C49,H29:H49="-",""))))</f>
        <v>2; 3; 9; 19</v>
      </c>
    </row>
    <row r="34" spans="1:26" ht="15" customHeight="1" x14ac:dyDescent="0.2">
      <c r="A34" s="92" t="str">
        <v>Manufacturing Technology Advancement and Automation</v>
      </c>
      <c r="B34" s="92" t="str">
        <f>IF('8. Modified Driver Corr. Grid'!$A34="","",_xlfn.XLOOKUP('8. Modified Driver Corr. Grid'!$A34,Drivers[Driver Short Name],Drivers[Driver Classification]))</f>
        <v>Critical Uncertainty</v>
      </c>
      <c r="C34" s="93">
        <f>IF(A34="","",_xlfn.XLOOKUP(A34,Drivers[Driver Short Name],Drivers[Driv '#]))</f>
        <v>12</v>
      </c>
      <c r="D34" s="98" t="s">
        <v>48</v>
      </c>
      <c r="E34" s="98" t="s">
        <v>48</v>
      </c>
      <c r="F34" s="98">
        <v>0</v>
      </c>
      <c r="G34" s="98">
        <v>0</v>
      </c>
      <c r="H34" s="98">
        <v>0</v>
      </c>
      <c r="I34" s="95"/>
      <c r="J34" s="95"/>
      <c r="K34" s="95"/>
      <c r="L34" s="95"/>
      <c r="M34" s="95"/>
      <c r="N34" s="95"/>
      <c r="O34" s="95"/>
      <c r="P34" s="95"/>
      <c r="Q34" s="95"/>
      <c r="R34" s="95"/>
      <c r="S34" s="95"/>
      <c r="T34" s="95"/>
      <c r="U34" s="95"/>
      <c r="V34" s="95"/>
      <c r="W34" s="95"/>
      <c r="X34" s="95"/>
      <c r="Y34" s="96">
        <f>IF(A34="","",COUNTIF($D34:$X34,"+")+COUNTIF($D34:$X34,"-")+COUNTIF(I$29:I$49,"+")+COUNTIF(I$29:I$49,"-")+1)</f>
        <v>3</v>
      </c>
      <c r="Z34" s="97" t="str" cm="1">
        <f t="array" ref="Z34">_xlfn.TEXTJOIN("; ",TRUE,_xlfn._xlws.SORT(_xlfn.VSTACK(C34,TRANSPOSE(_xlfn._xlws.FILTER(_xlfn.ANCHORARRAY(D28),D34:X34="+","")),TRANSPOSE(_xlfn._xlws.FILTER(_xlfn.ANCHORARRAY(D28),D34:X34="-","")),_xlfn._xlws.FILTER(C29:C49,I29:I49="+",""),_xlfn._xlws.FILTER(C29:C49,I29:I49="-",""))))</f>
        <v>10; 11; 12</v>
      </c>
    </row>
    <row r="35" spans="1:26" ht="15" customHeight="1" x14ac:dyDescent="0.2">
      <c r="A35" s="92" t="str">
        <v>Maritime Sovereignty Competition and Chinese Assertiveness</v>
      </c>
      <c r="B35" s="92" t="str">
        <f>IF('8. Modified Driver Corr. Grid'!$A35="","",_xlfn.XLOOKUP('8. Modified Driver Corr. Grid'!$A35,Drivers[Driver Short Name],Drivers[Driver Classification]))</f>
        <v>Critical Uncertainty</v>
      </c>
      <c r="C35" s="93">
        <f>IF(A35="","",_xlfn.XLOOKUP(A35,Drivers[Driver Short Name],Drivers[Driv '#]))</f>
        <v>19</v>
      </c>
      <c r="D35" s="98">
        <v>0</v>
      </c>
      <c r="E35" s="98">
        <v>0</v>
      </c>
      <c r="F35" s="98">
        <v>0</v>
      </c>
      <c r="G35" s="98">
        <v>0</v>
      </c>
      <c r="H35" s="98" t="s">
        <v>48</v>
      </c>
      <c r="I35" s="98">
        <v>0</v>
      </c>
      <c r="J35" s="95"/>
      <c r="K35" s="95"/>
      <c r="L35" s="95"/>
      <c r="M35" s="95"/>
      <c r="N35" s="95"/>
      <c r="O35" s="95"/>
      <c r="P35" s="95"/>
      <c r="Q35" s="95"/>
      <c r="R35" s="95"/>
      <c r="S35" s="95"/>
      <c r="T35" s="95"/>
      <c r="U35" s="95"/>
      <c r="V35" s="95"/>
      <c r="W35" s="95"/>
      <c r="X35" s="95"/>
      <c r="Y35" s="96">
        <f>IF(A35="","",COUNTIF($D35:$X35,"+")+COUNTIF($D35:$X35,"-")+COUNTIF(J$29:J$49,"+")+COUNTIF(J$29:J$49,"-")+1)</f>
        <v>4</v>
      </c>
      <c r="Z35" s="97" t="str" cm="1">
        <f t="array" ref="Z35">_xlfn.TEXTJOIN("; ",TRUE,_xlfn._xlws.SORT(_xlfn.VSTACK(C35,TRANSPOSE(_xlfn._xlws.FILTER(_xlfn.ANCHORARRAY(D28),D35:X35="+","")),TRANSPOSE(_xlfn._xlws.FILTER(_xlfn.ANCHORARRAY(D28),D35:X35="-","")),_xlfn._xlws.FILTER(C29:C49,J29:J49="+",""),_xlfn._xlws.FILTER(C29:C49,J29:J49="-",""))))</f>
        <v>2; 3; 9; 19</v>
      </c>
    </row>
    <row r="36" spans="1:26" ht="15" customHeight="1" x14ac:dyDescent="0.2">
      <c r="A36" s="92" t="str">
        <v>Regional Economic Development and Industrialization</v>
      </c>
      <c r="B36" s="92" t="str">
        <f>IF('8. Modified Driver Corr. Grid'!$A36="","",_xlfn.XLOOKUP('8. Modified Driver Corr. Grid'!$A36,Drivers[Driver Short Name],Drivers[Driver Classification]))</f>
        <v>Critical Uncertainty</v>
      </c>
      <c r="C36" s="93">
        <f>IF(A36="","",_xlfn.XLOOKUP(A36,Drivers[Driver Short Name],Drivers[Driv '#]))</f>
        <v>4</v>
      </c>
      <c r="D36" s="98">
        <v>0</v>
      </c>
      <c r="E36" s="98">
        <v>0</v>
      </c>
      <c r="F36" s="98">
        <v>0</v>
      </c>
      <c r="G36" s="98">
        <v>0</v>
      </c>
      <c r="H36" s="98">
        <v>0</v>
      </c>
      <c r="I36" s="98">
        <v>0</v>
      </c>
      <c r="J36" s="98">
        <v>0</v>
      </c>
      <c r="K36" s="95"/>
      <c r="L36" s="99"/>
      <c r="M36" s="99"/>
      <c r="N36" s="99"/>
      <c r="O36" s="99"/>
      <c r="P36" s="99"/>
      <c r="Q36" s="99"/>
      <c r="R36" s="99"/>
      <c r="S36" s="99"/>
      <c r="T36" s="99"/>
      <c r="U36" s="99"/>
      <c r="V36" s="99"/>
      <c r="W36" s="99"/>
      <c r="X36" s="99"/>
      <c r="Y36" s="96">
        <f>IF(A36="","",COUNTIF($D36:$X36,"+")+COUNTIF($D36:$X36,"-")+COUNTIF(K$29:K$49,"+")+COUNTIF(K$29:K$49,"-")+1)</f>
        <v>1</v>
      </c>
      <c r="Z36" s="97" t="str" cm="1">
        <f t="array" ref="Z36">_xlfn.TEXTJOIN("; ",TRUE,_xlfn._xlws.SORT(_xlfn.VSTACK(C36,TRANSPOSE(_xlfn._xlws.FILTER(_xlfn.ANCHORARRAY(D28),D36:X36="+","")),TRANSPOSE(_xlfn._xlws.FILTER(_xlfn.ANCHORARRAY(D28),D36:X36="-","")),_xlfn._xlws.FILTER(C29:C49,K29:K49="+",""),_xlfn._xlws.FILTER(C29:C49,K29:K49="-",""))))</f>
        <v>4</v>
      </c>
    </row>
    <row r="37" spans="1:26" ht="15" customHeight="1" x14ac:dyDescent="0.2">
      <c r="A37" s="92" t="str">
        <v>Regional Security Tensions and Modernization</v>
      </c>
      <c r="B37" s="92" t="str">
        <f>IF('8. Modified Driver Corr. Grid'!$A37="","",_xlfn.XLOOKUP('8. Modified Driver Corr. Grid'!$A37,Drivers[Driver Short Name],Drivers[Driver Classification]))</f>
        <v>Critical Uncertainty</v>
      </c>
      <c r="C37" s="93">
        <f>IF(A37="","",_xlfn.XLOOKUP(A37,Drivers[Driver Short Name],Drivers[Driv '#]))</f>
        <v>3</v>
      </c>
      <c r="D37" s="98">
        <v>0</v>
      </c>
      <c r="E37" s="98">
        <v>0</v>
      </c>
      <c r="F37" s="98">
        <v>0</v>
      </c>
      <c r="G37" s="98">
        <v>0</v>
      </c>
      <c r="H37" s="98" t="s">
        <v>48</v>
      </c>
      <c r="I37" s="98">
        <v>0</v>
      </c>
      <c r="J37" s="98" t="s">
        <v>48</v>
      </c>
      <c r="K37" s="98">
        <v>0</v>
      </c>
      <c r="L37" s="99"/>
      <c r="M37" s="99"/>
      <c r="N37" s="99"/>
      <c r="O37" s="99"/>
      <c r="P37" s="99"/>
      <c r="Q37" s="99"/>
      <c r="R37" s="99"/>
      <c r="S37" s="99"/>
      <c r="T37" s="99"/>
      <c r="U37" s="99"/>
      <c r="V37" s="99"/>
      <c r="W37" s="99"/>
      <c r="X37" s="99"/>
      <c r="Y37" s="96">
        <f>IF(A37="","",COUNTIF($D37:$X37,"+")+COUNTIF($D37:$X37,"-")+COUNTIF(L$29:L$49,"+")+COUNTIF(L$29:L$49,"-")+1)</f>
        <v>4</v>
      </c>
      <c r="Z37" s="97" t="str" cm="1">
        <f t="array" ref="Z37">_xlfn.TEXTJOIN("; ",TRUE,_xlfn._xlws.SORT(_xlfn.VSTACK(C37,TRANSPOSE(_xlfn._xlws.FILTER(_xlfn.ANCHORARRAY(D28),D37:X37="+","")),TRANSPOSE(_xlfn._xlws.FILTER(_xlfn.ANCHORARRAY(D28),D37:X37="-","")),_xlfn._xlws.FILTER(C29:C49,L29:L49="+",""),_xlfn._xlws.FILTER(C29:C49,L29:L49="-",""))))</f>
        <v>2; 3; 9; 19</v>
      </c>
    </row>
    <row r="38" spans="1:26" ht="15" customHeight="1" x14ac:dyDescent="0.2">
      <c r="A38" s="92" t="str">
        <v>U.S. Security Partnership and Alliance Value</v>
      </c>
      <c r="B38" s="92" t="str">
        <f>IF('8. Modified Driver Corr. Grid'!$A38="","",_xlfn.XLOOKUP('8. Modified Driver Corr. Grid'!$A38,Drivers[Driver Short Name],Drivers[Driver Classification]))</f>
        <v>Critical Uncertainty</v>
      </c>
      <c r="C38" s="93">
        <f>IF(A38="","",_xlfn.XLOOKUP(A38,Drivers[Driver Short Name],Drivers[Driv '#]))</f>
        <v>9</v>
      </c>
      <c r="D38" s="98">
        <v>0</v>
      </c>
      <c r="E38" s="98">
        <v>0</v>
      </c>
      <c r="F38" s="98">
        <v>0</v>
      </c>
      <c r="G38" s="98" t="s">
        <v>891</v>
      </c>
      <c r="H38" s="98" t="s">
        <v>48</v>
      </c>
      <c r="I38" s="98">
        <v>0</v>
      </c>
      <c r="J38" s="98" t="s">
        <v>48</v>
      </c>
      <c r="K38" s="98">
        <v>0</v>
      </c>
      <c r="L38" s="98" t="s">
        <v>48</v>
      </c>
      <c r="M38" s="99"/>
      <c r="N38" s="99"/>
      <c r="O38" s="99"/>
      <c r="P38" s="99"/>
      <c r="Q38" s="99"/>
      <c r="R38" s="99"/>
      <c r="S38" s="99"/>
      <c r="T38" s="99"/>
      <c r="U38" s="99"/>
      <c r="V38" s="99"/>
      <c r="W38" s="99"/>
      <c r="X38" s="99"/>
      <c r="Y38" s="96">
        <f>IF(A38="","",COUNTIF($D38:$X38,"+")+COUNTIF($D38:$X38,"-")+COUNTIF(M$29:M$49,"+")+COUNTIF(M$29:M$49,"-")+1)</f>
        <v>5</v>
      </c>
      <c r="Z38" s="97" t="str" cm="1">
        <f t="array" ref="Z38">_xlfn.TEXTJOIN("; ",TRUE,_xlfn._xlws.SORT(_xlfn.VSTACK(C38,TRANSPOSE(_xlfn._xlws.FILTER(_xlfn.ANCHORARRAY(D28),D38:X38="+","")),TRANSPOSE(_xlfn._xlws.FILTER(_xlfn.ANCHORARRAY(D28),D38:X38="-","")),_xlfn._xlws.FILTER(C29:C49,M29:M49="+",""),_xlfn._xlws.FILTER(C29:C49,M29:M49="-",""))))</f>
        <v>1; 2; 3; 9; 19</v>
      </c>
    </row>
    <row r="39" spans="1:26" ht="15" customHeight="1" x14ac:dyDescent="0.2">
      <c r="A39" s="92"/>
      <c r="B39" s="92" t="str">
        <f>IF('8. Modified Driver Corr. Grid'!$A39="","",_xlfn.XLOOKUP('8. Modified Driver Corr. Grid'!$A39,Drivers[Driver Short Name],Drivers[Driver Classification]))</f>
        <v/>
      </c>
      <c r="C39" s="93" t="str">
        <f>IF(A39="","",_xlfn.XLOOKUP(A39,Drivers[Driver Short Name],Drivers[Driv '#]))</f>
        <v/>
      </c>
      <c r="D39" s="98"/>
      <c r="E39" s="98"/>
      <c r="F39" s="98"/>
      <c r="G39" s="98"/>
      <c r="H39" s="98"/>
      <c r="I39" s="98"/>
      <c r="J39" s="98"/>
      <c r="K39" s="98"/>
      <c r="L39" s="98"/>
      <c r="M39" s="98"/>
      <c r="N39" s="99"/>
      <c r="O39" s="99"/>
      <c r="P39" s="99"/>
      <c r="Q39" s="99"/>
      <c r="R39" s="99"/>
      <c r="S39" s="99"/>
      <c r="T39" s="99"/>
      <c r="U39" s="99"/>
      <c r="V39" s="99"/>
      <c r="W39" s="99"/>
      <c r="X39" s="99"/>
      <c r="Y39" s="96" t="str">
        <f>IF(A39="","",COUNTIF($D39:$X39,"+")+COUNTIF($D39:$X39,"-")+COUNTIF(N$29:N$49,"+")+COUNTIF(N$29:N$49,"-")+1)</f>
        <v/>
      </c>
      <c r="Z39" s="97" t="str" cm="1">
        <f t="array" ref="Z39">_xlfn.TEXTJOIN("; ",TRUE,_xlfn._xlws.SORT(_xlfn.VSTACK(C39,TRANSPOSE(_xlfn._xlws.FILTER(_xlfn.ANCHORARRAY(D28),D39:X39="+","")),TRANSPOSE(_xlfn._xlws.FILTER(_xlfn.ANCHORARRAY(D28),D39:X39="-","")),_xlfn._xlws.FILTER(C29:C49,N29:N49="+",""),_xlfn._xlws.FILTER(C29:C49,N29:N49="-",""))))</f>
        <v/>
      </c>
    </row>
    <row r="40" spans="1:26" ht="15" customHeight="1" x14ac:dyDescent="0.2">
      <c r="A40" s="92"/>
      <c r="B40" s="92" t="str">
        <f>IF('8. Modified Driver Corr. Grid'!$A40="","",_xlfn.XLOOKUP('8. Modified Driver Corr. Grid'!$A40,Drivers[Driver Short Name],Drivers[Driver Classification]))</f>
        <v/>
      </c>
      <c r="C40" s="93" t="str">
        <f>IF(A40="","",_xlfn.XLOOKUP(A40,Drivers[Driver Short Name],Drivers[Driv '#]))</f>
        <v/>
      </c>
      <c r="D40" s="98"/>
      <c r="E40" s="98"/>
      <c r="F40" s="98"/>
      <c r="G40" s="98"/>
      <c r="H40" s="98"/>
      <c r="I40" s="98"/>
      <c r="J40" s="98"/>
      <c r="K40" s="98"/>
      <c r="L40" s="98"/>
      <c r="M40" s="98"/>
      <c r="N40" s="98"/>
      <c r="O40" s="99"/>
      <c r="P40" s="99"/>
      <c r="Q40" s="99"/>
      <c r="R40" s="99"/>
      <c r="S40" s="99"/>
      <c r="T40" s="99"/>
      <c r="U40" s="99"/>
      <c r="V40" s="99"/>
      <c r="W40" s="99"/>
      <c r="X40" s="99"/>
      <c r="Y40" s="96" t="str">
        <f>IF(A40="","",COUNTIF($D40:$X40,"+")+COUNTIF($D40:$X40,"-")+COUNTIF(O$29:O$49,"+")+COUNTIF(O$29:O$49,"-")+1)</f>
        <v/>
      </c>
      <c r="Z40" s="97" t="str" cm="1">
        <f t="array" ref="Z40">_xlfn.TEXTJOIN("; ",TRUE,_xlfn._xlws.SORT(_xlfn.VSTACK(C40,TRANSPOSE(_xlfn._xlws.FILTER(_xlfn.ANCHORARRAY(D28),D40:X40="+","")),TRANSPOSE(_xlfn._xlws.FILTER(_xlfn.ANCHORARRAY(D28),D40:X40="-","")),_xlfn._xlws.FILTER(C29:C49,O29:O49="+",""),_xlfn._xlws.FILTER(C29:C49,O29:O49="-",""))))</f>
        <v/>
      </c>
    </row>
    <row r="41" spans="1:26" ht="15" customHeight="1" x14ac:dyDescent="0.2">
      <c r="A41" s="92"/>
      <c r="B41" s="92" t="str">
        <f>IF('8. Modified Driver Corr. Grid'!$A41="","",_xlfn.XLOOKUP('8. Modified Driver Corr. Grid'!$A41,Drivers[Driver Short Name],Drivers[Driver Classification]))</f>
        <v/>
      </c>
      <c r="C41" s="93" t="str">
        <f>IF(A41="","",_xlfn.XLOOKUP(A41,Drivers[Driver Short Name],Drivers[Driv '#]))</f>
        <v/>
      </c>
      <c r="D41" s="98"/>
      <c r="E41" s="98"/>
      <c r="F41" s="98"/>
      <c r="G41" s="98"/>
      <c r="H41" s="98"/>
      <c r="I41" s="98"/>
      <c r="J41" s="98"/>
      <c r="K41" s="98"/>
      <c r="L41" s="98"/>
      <c r="M41" s="98"/>
      <c r="N41" s="98"/>
      <c r="O41" s="98"/>
      <c r="P41" s="99"/>
      <c r="Q41" s="99"/>
      <c r="R41" s="99"/>
      <c r="S41" s="99"/>
      <c r="T41" s="99"/>
      <c r="U41" s="99"/>
      <c r="V41" s="99"/>
      <c r="W41" s="99"/>
      <c r="X41" s="99"/>
      <c r="Y41" s="96" t="str">
        <f>IF(A41="","",COUNTIF($D41:$X41,"+")+COUNTIF($D41:$X41,"-")+COUNTIF(P$29:P$49,"+")+COUNTIF(P$29:P$49,"-")+1)</f>
        <v/>
      </c>
      <c r="Z41" s="97" t="str" cm="1">
        <f t="array" ref="Z41">_xlfn.TEXTJOIN("; ",TRUE,_xlfn._xlws.SORT(_xlfn.VSTACK(C41,TRANSPOSE(_xlfn._xlws.FILTER(_xlfn.ANCHORARRAY(D28),D41:X41="+","")),TRANSPOSE(_xlfn._xlws.FILTER(_xlfn.ANCHORARRAY(D28),D41:X41="-","")),_xlfn._xlws.FILTER(C29:C49,P29:P49="+",""),_xlfn._xlws.FILTER(C29:C49,P29:P49="-",""))))</f>
        <v/>
      </c>
    </row>
    <row r="42" spans="1:26" ht="15" customHeight="1" x14ac:dyDescent="0.2">
      <c r="A42" s="92"/>
      <c r="B42" s="92" t="str">
        <f>IF('8. Modified Driver Corr. Grid'!$A42="","",_xlfn.XLOOKUP('8. Modified Driver Corr. Grid'!$A42,Drivers[Driver Short Name],Drivers[Driver Classification]))</f>
        <v/>
      </c>
      <c r="C42" s="93" t="str">
        <f>IF(A42="","",_xlfn.XLOOKUP(A42,Drivers[Driver Short Name],Drivers[Driv '#]))</f>
        <v/>
      </c>
      <c r="D42" s="98"/>
      <c r="E42" s="98"/>
      <c r="F42" s="98"/>
      <c r="G42" s="98"/>
      <c r="H42" s="98"/>
      <c r="I42" s="98"/>
      <c r="J42" s="98"/>
      <c r="K42" s="98"/>
      <c r="L42" s="98"/>
      <c r="M42" s="98"/>
      <c r="N42" s="98"/>
      <c r="O42" s="98"/>
      <c r="P42" s="98"/>
      <c r="Q42" s="99"/>
      <c r="R42" s="99"/>
      <c r="S42" s="99"/>
      <c r="T42" s="99"/>
      <c r="U42" s="99"/>
      <c r="V42" s="99"/>
      <c r="W42" s="99"/>
      <c r="X42" s="99"/>
      <c r="Y42" s="96" t="str">
        <f>IF(A42="","",COUNTIF($D42:$X42,"+")+COUNTIF($D42:$X42,"-")+COUNTIF(Q$29:Q$49,"+")+COUNTIF(Q$29:Q$49,"-")+1)</f>
        <v/>
      </c>
      <c r="Z42" s="97" t="str" cm="1">
        <f t="array" ref="Z42">_xlfn.TEXTJOIN("; ",TRUE,_xlfn._xlws.SORT(_xlfn.VSTACK(C42,TRANSPOSE(_xlfn._xlws.FILTER(_xlfn.ANCHORARRAY(D28),D42:X42="+","")),TRANSPOSE(_xlfn._xlws.FILTER(_xlfn.ANCHORARRAY(D28),D42:X42="-","")),_xlfn._xlws.FILTER(C29:C49,Q29:Q49="+",""),_xlfn._xlws.FILTER(C29:C49,Q29:Q49="-",""))))</f>
        <v/>
      </c>
    </row>
    <row r="43" spans="1:26" ht="15" customHeight="1" x14ac:dyDescent="0.2">
      <c r="A43" s="92"/>
      <c r="B43" s="92" t="str">
        <f>IF('8. Modified Driver Corr. Grid'!$A43="","",_xlfn.XLOOKUP('8. Modified Driver Corr. Grid'!$A43,Drivers[Driver Short Name],Drivers[Driver Classification]))</f>
        <v/>
      </c>
      <c r="C43" s="93" t="str">
        <f>IF(A43="","",_xlfn.XLOOKUP(A43,Drivers[Driver Short Name],Drivers[Driv '#]))</f>
        <v/>
      </c>
      <c r="D43" s="98"/>
      <c r="E43" s="98"/>
      <c r="F43" s="98"/>
      <c r="G43" s="98"/>
      <c r="H43" s="98"/>
      <c r="I43" s="98"/>
      <c r="J43" s="98"/>
      <c r="K43" s="98"/>
      <c r="L43" s="98"/>
      <c r="M43" s="98"/>
      <c r="N43" s="98"/>
      <c r="O43" s="98"/>
      <c r="P43" s="98"/>
      <c r="Q43" s="98"/>
      <c r="R43" s="99"/>
      <c r="S43" s="99"/>
      <c r="T43" s="99"/>
      <c r="U43" s="99"/>
      <c r="V43" s="99"/>
      <c r="W43" s="99"/>
      <c r="X43" s="99"/>
      <c r="Y43" s="96" t="str">
        <f>IF(A43="","",COUNTIF($D43:$X43,"+")+COUNTIF($D43:$X43,"-")+COUNTIF(R$29:R$49,"+")+COUNTIF(R$29:R$49,"-")+1)</f>
        <v/>
      </c>
      <c r="Z43" s="97" t="str" cm="1">
        <f t="array" ref="Z43">_xlfn.TEXTJOIN("; ",TRUE,_xlfn._xlws.SORT(_xlfn.VSTACK(C43,TRANSPOSE(_xlfn._xlws.FILTER(_xlfn.ANCHORARRAY(D28),D43:X43="+","")),TRANSPOSE(_xlfn._xlws.FILTER(_xlfn.ANCHORARRAY(D28),D43:X43="-","")),_xlfn._xlws.FILTER(C29:C49,R29:R49="+",""),_xlfn._xlws.FILTER(C29:C49,R29:R49="-",""))))</f>
        <v/>
      </c>
    </row>
    <row r="44" spans="1:26" ht="15" customHeight="1" x14ac:dyDescent="0.2">
      <c r="A44" s="92"/>
      <c r="B44" s="92" t="str">
        <f>IF('8. Modified Driver Corr. Grid'!$A44="","",_xlfn.XLOOKUP('8. Modified Driver Corr. Grid'!$A44,Drivers[Driver Short Name],Drivers[Driver Classification]))</f>
        <v/>
      </c>
      <c r="C44" s="93" t="str">
        <f>IF(A44="","",_xlfn.XLOOKUP(A44,Drivers[Driver Short Name],Drivers[Driv '#]))</f>
        <v/>
      </c>
      <c r="D44" s="98"/>
      <c r="E44" s="98"/>
      <c r="F44" s="98"/>
      <c r="G44" s="98"/>
      <c r="H44" s="98"/>
      <c r="I44" s="98"/>
      <c r="J44" s="98"/>
      <c r="K44" s="98"/>
      <c r="L44" s="98"/>
      <c r="M44" s="98"/>
      <c r="N44" s="98"/>
      <c r="O44" s="98"/>
      <c r="P44" s="98"/>
      <c r="Q44" s="98"/>
      <c r="R44" s="98"/>
      <c r="S44" s="99"/>
      <c r="T44" s="99"/>
      <c r="U44" s="99"/>
      <c r="V44" s="99"/>
      <c r="W44" s="99"/>
      <c r="X44" s="99"/>
      <c r="Y44" s="96" t="str">
        <f>IF(A44="","",COUNTIF($D44:$X44,"+")+COUNTIF($D44:$X44,"-")+COUNTIF(S$29:S$49,"+")+COUNTIF(S$29:S$49,"-")+1)</f>
        <v/>
      </c>
      <c r="Z44" s="97" t="str" cm="1">
        <f t="array" ref="Z44">_xlfn.TEXTJOIN("; ",TRUE,_xlfn._xlws.SORT(_xlfn.VSTACK(C44,TRANSPOSE(_xlfn._xlws.FILTER(_xlfn.ANCHORARRAY(D28),D44:X44="+","")),TRANSPOSE(_xlfn._xlws.FILTER(_xlfn.ANCHORARRAY(D28),D44:X44="-","")),_xlfn._xlws.FILTER(C29:C49,S29:S49="+",""),_xlfn._xlws.FILTER(C29:C49,S29:S49="-",""))))</f>
        <v/>
      </c>
    </row>
    <row r="45" spans="1:26" ht="15" customHeight="1" x14ac:dyDescent="0.2">
      <c r="A45" s="92"/>
      <c r="B45" s="92" t="str">
        <f>IF('8. Modified Driver Corr. Grid'!$A45="","",_xlfn.XLOOKUP('8. Modified Driver Corr. Grid'!$A45,Drivers[Driver Short Name],Drivers[Driver Classification]))</f>
        <v/>
      </c>
      <c r="C45" s="93" t="str">
        <f>IF(A45="","",_xlfn.XLOOKUP(A45,Drivers[Driver Short Name],Drivers[Driv '#]))</f>
        <v/>
      </c>
      <c r="D45" s="98"/>
      <c r="E45" s="98"/>
      <c r="F45" s="98"/>
      <c r="G45" s="98"/>
      <c r="H45" s="98"/>
      <c r="I45" s="98"/>
      <c r="J45" s="98"/>
      <c r="K45" s="98"/>
      <c r="L45" s="98"/>
      <c r="M45" s="98"/>
      <c r="N45" s="98"/>
      <c r="O45" s="98"/>
      <c r="P45" s="98"/>
      <c r="Q45" s="98"/>
      <c r="R45" s="98"/>
      <c r="S45" s="98"/>
      <c r="T45" s="99"/>
      <c r="U45" s="99"/>
      <c r="V45" s="99"/>
      <c r="W45" s="99"/>
      <c r="X45" s="99"/>
      <c r="Y45" s="96" t="str">
        <f>IF(A45="","",COUNTIF($D45:$X45,"+")+COUNTIF($D45:$X45,"-")+COUNTIF(T$29:T$49,"+")+COUNTIF(T$29:T$49,"-")+1)</f>
        <v/>
      </c>
      <c r="Z45" s="97" t="str" cm="1">
        <f t="array" ref="Z45">_xlfn.TEXTJOIN("; ",TRUE,_xlfn._xlws.SORT(_xlfn.VSTACK(C45,TRANSPOSE(_xlfn._xlws.FILTER(_xlfn.ANCHORARRAY(D28),D45:X45="+","")),TRANSPOSE(_xlfn._xlws.FILTER(_xlfn.ANCHORARRAY(D28),D45:X45="-","")),_xlfn._xlws.FILTER(C29:C49,T29:T49="+",""),_xlfn._xlws.FILTER(C29:C49,T29:T49="-",""))))</f>
        <v/>
      </c>
    </row>
    <row r="46" spans="1:26" ht="15" customHeight="1" x14ac:dyDescent="0.2">
      <c r="A46" s="92"/>
      <c r="B46" s="92" t="str">
        <f>IF('8. Modified Driver Corr. Grid'!$A46="","",_xlfn.XLOOKUP('8. Modified Driver Corr. Grid'!$A46,Drivers[Driver Short Name],Drivers[Driver Classification]))</f>
        <v/>
      </c>
      <c r="C46" s="93" t="str">
        <f>IF(A46="","",_xlfn.XLOOKUP(A46,Drivers[Driver Short Name],Drivers[Driv '#]))</f>
        <v/>
      </c>
      <c r="D46" s="98"/>
      <c r="E46" s="98"/>
      <c r="F46" s="98"/>
      <c r="G46" s="98"/>
      <c r="H46" s="98"/>
      <c r="I46" s="98"/>
      <c r="J46" s="98"/>
      <c r="K46" s="98"/>
      <c r="L46" s="98"/>
      <c r="M46" s="98"/>
      <c r="N46" s="98"/>
      <c r="O46" s="98"/>
      <c r="P46" s="98"/>
      <c r="Q46" s="98"/>
      <c r="R46" s="98"/>
      <c r="S46" s="98"/>
      <c r="T46" s="98"/>
      <c r="U46" s="99"/>
      <c r="V46" s="99"/>
      <c r="W46" s="99"/>
      <c r="X46" s="99"/>
      <c r="Y46" s="96" t="str">
        <f>IF(A46="","",COUNTIF($D46:$X46,"+")+COUNTIF($D46:$X46,"-")+COUNTIF(U$29:U$49,"+")+COUNTIF(U$29:U$49,"-")+1)</f>
        <v/>
      </c>
      <c r="Z46" s="97" t="str" cm="1">
        <f t="array" ref="Z46">_xlfn.TEXTJOIN("; ",TRUE,_xlfn._xlws.SORT(_xlfn.VSTACK(C46,TRANSPOSE(_xlfn._xlws.FILTER(_xlfn.ANCHORARRAY(D28),D46:X46="+","")),TRANSPOSE(_xlfn._xlws.FILTER(_xlfn.ANCHORARRAY(D28),D46:X46="-","")),_xlfn._xlws.FILTER(C29:C49,U29:U49="+",""),_xlfn._xlws.FILTER(C29:C49,U29:U49="-",""))))</f>
        <v/>
      </c>
    </row>
    <row r="47" spans="1:26" ht="15" customHeight="1" x14ac:dyDescent="0.2">
      <c r="A47" s="92"/>
      <c r="B47" s="92" t="str">
        <f>IF('8. Modified Driver Corr. Grid'!$A47="","",_xlfn.XLOOKUP('8. Modified Driver Corr. Grid'!$A47,Drivers[Driver Short Name],Drivers[Driver Classification]))</f>
        <v/>
      </c>
      <c r="C47" s="93" t="str">
        <f>IF(A47="","",_xlfn.XLOOKUP(A47,Drivers[Driver Short Name],Drivers[Driv '#]))</f>
        <v/>
      </c>
      <c r="D47" s="100"/>
      <c r="E47" s="100"/>
      <c r="F47" s="100"/>
      <c r="G47" s="100"/>
      <c r="H47" s="100"/>
      <c r="I47" s="100"/>
      <c r="J47" s="100"/>
      <c r="K47" s="100"/>
      <c r="L47" s="100"/>
      <c r="M47" s="100"/>
      <c r="N47" s="100"/>
      <c r="O47" s="100"/>
      <c r="P47" s="100"/>
      <c r="Q47" s="100"/>
      <c r="R47" s="101"/>
      <c r="S47" s="100"/>
      <c r="T47" s="101"/>
      <c r="U47" s="101"/>
      <c r="V47" s="99"/>
      <c r="W47" s="99"/>
      <c r="X47" s="99"/>
      <c r="Y47" s="96" t="str">
        <f>IF(A47="","",COUNTIF($D47:$X47,"+")+COUNTIF($D47:$X47,"-")+COUNTIF(V$29:V$49,"+")+COUNTIF(V$29:V$49,"-")+1)</f>
        <v/>
      </c>
      <c r="Z47" s="97" t="str" cm="1">
        <f t="array" ref="Z47">_xlfn.TEXTJOIN("; ",TRUE,_xlfn._xlws.SORT(_xlfn.VSTACK(C47,TRANSPOSE(_xlfn._xlws.FILTER(_xlfn.ANCHORARRAY(D28),D47:X47="+","")),TRANSPOSE(_xlfn._xlws.FILTER(_xlfn.ANCHORARRAY(D28),D47:X47="-","")),_xlfn._xlws.FILTER(C29:C49,V29:V49="+",""),_xlfn._xlws.FILTER(C29:C49,V29:V49="-",""))))</f>
        <v/>
      </c>
    </row>
    <row r="48" spans="1:26" ht="15" customHeight="1" x14ac:dyDescent="0.2">
      <c r="A48" s="92"/>
      <c r="B48" s="92" t="str">
        <f>IF('8. Modified Driver Corr. Grid'!$A48="","",_xlfn.XLOOKUP('8. Modified Driver Corr. Grid'!$A48,Drivers[Driver Short Name],Drivers[Driver Classification]))</f>
        <v/>
      </c>
      <c r="C48" s="93" t="str">
        <f>IF(A48="","",_xlfn.XLOOKUP(A48,Drivers[Driver Short Name],Drivers[Driv '#]))</f>
        <v/>
      </c>
      <c r="D48" s="100"/>
      <c r="E48" s="100"/>
      <c r="F48" s="100"/>
      <c r="G48" s="100"/>
      <c r="H48" s="100"/>
      <c r="I48" s="100"/>
      <c r="J48" s="100"/>
      <c r="K48" s="100"/>
      <c r="L48" s="100"/>
      <c r="M48" s="100"/>
      <c r="N48" s="100"/>
      <c r="O48" s="100"/>
      <c r="P48" s="100"/>
      <c r="Q48" s="100"/>
      <c r="R48" s="101"/>
      <c r="S48" s="100"/>
      <c r="T48" s="101"/>
      <c r="U48" s="101"/>
      <c r="V48" s="101"/>
      <c r="W48" s="99"/>
      <c r="X48" s="99"/>
      <c r="Y48" s="96" t="str">
        <f>IF(A48="","",COUNTIF($D48:$X48,"+")+COUNTIF($D48:$X48,"-")+COUNTIF(V$29:V$49,"+")+COUNTIF(V$29:V$49,"-")+1)</f>
        <v/>
      </c>
      <c r="Z48" s="97" t="str" cm="1">
        <f t="array" ref="Z48">_xlfn.TEXTJOIN("; ",TRUE,_xlfn._xlws.SORT(_xlfn.VSTACK(C48,TRANSPOSE(_xlfn._xlws.FILTER(_xlfn.ANCHORARRAY(D28),D48:X48="+","")),TRANSPOSE(_xlfn._xlws.FILTER(_xlfn.ANCHORARRAY(D28),D48:X48="-","")),_xlfn._xlws.FILTER(C29:C49,V29:V49="+",""),_xlfn._xlws.FILTER(C29:C49,V29:V49="-",""))))</f>
        <v/>
      </c>
    </row>
    <row r="49" spans="1:26" ht="15" customHeight="1" x14ac:dyDescent="0.2">
      <c r="A49" s="102"/>
      <c r="B49" s="102" t="str">
        <f>IF('8. Modified Driver Corr. Grid'!$A49="","",_xlfn.XLOOKUP('8. Modified Driver Corr. Grid'!$A49,Drivers[Driver Short Name],Drivers[Driver Classification]))</f>
        <v/>
      </c>
      <c r="C49" s="103" t="str">
        <f>IF(A49="","",_xlfn.XLOOKUP(A49,Drivers[Driver Short Name],Drivers[Driv '#]))</f>
        <v/>
      </c>
      <c r="D49" s="104"/>
      <c r="E49" s="104"/>
      <c r="F49" s="104"/>
      <c r="G49" s="104"/>
      <c r="H49" s="104"/>
      <c r="I49" s="104"/>
      <c r="J49" s="104"/>
      <c r="K49" s="104"/>
      <c r="L49" s="104"/>
      <c r="M49" s="104"/>
      <c r="N49" s="104"/>
      <c r="O49" s="104"/>
      <c r="P49" s="104"/>
      <c r="Q49" s="104"/>
      <c r="R49" s="105"/>
      <c r="S49" s="104"/>
      <c r="T49" s="105"/>
      <c r="U49" s="105"/>
      <c r="V49" s="105"/>
      <c r="W49" s="105"/>
      <c r="X49" s="106"/>
      <c r="Y49" s="107" t="str">
        <f>IF(A49="","",COUNTIF($D49:$X49,"+")+COUNTIF($D49:$X49,"-")+COUNTIF(X$29:X$49,"+")+COUNTIF(X$29:X$49,"-")+1)</f>
        <v/>
      </c>
      <c r="Z49" s="108" t="str" cm="1">
        <f t="array" ref="Z49">_xlfn.TEXTJOIN("; ",TRUE,_xlfn._xlws.SORT(_xlfn.VSTACK(C49,TRANSPOSE(_xlfn._xlws.FILTER(_xlfn.ANCHORARRAY(D28),D49:X49="+","")),TRANSPOSE(_xlfn._xlws.FILTER(_xlfn.ANCHORARRAY(D28),D49:X49="-","")),_xlfn._xlws.FILTER(C29:C49,V29:V49="+",""),_xlfn._xlws.FILTER(C29:C49,V29:V49="-",""))))</f>
        <v/>
      </c>
    </row>
    <row r="54" spans="1:26" ht="15" customHeight="1" x14ac:dyDescent="0.2">
      <c r="A54" s="383"/>
      <c r="B54" s="383"/>
      <c r="C54" s="383"/>
      <c r="D54" s="383"/>
      <c r="E54" s="383"/>
      <c r="F54" s="383"/>
      <c r="G54" s="383"/>
      <c r="H54" s="383"/>
      <c r="I54" s="383"/>
      <c r="J54" s="383"/>
      <c r="K54" s="383"/>
    </row>
    <row r="55" spans="1:26" ht="15" customHeight="1" x14ac:dyDescent="0.2">
      <c r="A55" s="384"/>
      <c r="B55" s="384"/>
      <c r="C55" s="384"/>
      <c r="D55" s="384"/>
      <c r="E55" s="384"/>
      <c r="F55" s="384"/>
      <c r="G55" s="384"/>
      <c r="H55" s="384"/>
      <c r="I55" s="384"/>
      <c r="J55" s="384"/>
      <c r="K55" s="384"/>
      <c r="L55" s="109"/>
      <c r="M55" s="109"/>
    </row>
    <row r="56" spans="1:26" ht="15" customHeight="1" x14ac:dyDescent="0.2">
      <c r="A56" s="384"/>
      <c r="B56" s="384"/>
      <c r="C56" s="384"/>
      <c r="D56" s="384"/>
      <c r="E56" s="384"/>
      <c r="F56" s="384"/>
      <c r="G56" s="384"/>
      <c r="H56" s="384"/>
      <c r="I56" s="384"/>
      <c r="J56" s="384"/>
      <c r="K56" s="384"/>
      <c r="L56" s="109"/>
      <c r="M56" s="109"/>
    </row>
    <row r="57" spans="1:26" ht="15" customHeight="1" x14ac:dyDescent="0.2">
      <c r="A57" s="384"/>
      <c r="B57" s="384"/>
      <c r="C57" s="384"/>
      <c r="D57" s="384"/>
      <c r="E57" s="384"/>
      <c r="F57" s="384"/>
      <c r="G57" s="384"/>
      <c r="H57" s="384"/>
      <c r="I57" s="384"/>
      <c r="J57" s="384"/>
      <c r="K57" s="384"/>
      <c r="L57" s="109"/>
      <c r="M57" s="109"/>
    </row>
    <row r="58" spans="1:26" ht="15" customHeight="1" x14ac:dyDescent="0.2">
      <c r="A58" s="384"/>
      <c r="B58" s="384"/>
      <c r="C58" s="384"/>
      <c r="D58" s="384"/>
      <c r="E58" s="384"/>
      <c r="F58" s="384"/>
      <c r="G58" s="384"/>
      <c r="H58" s="384"/>
      <c r="I58" s="384"/>
      <c r="J58" s="384"/>
      <c r="K58" s="384"/>
      <c r="L58" s="109"/>
      <c r="M58" s="109"/>
    </row>
    <row r="59" spans="1:26" ht="15" customHeight="1" x14ac:dyDescent="0.2">
      <c r="A59" s="384"/>
      <c r="B59" s="384"/>
      <c r="C59" s="384"/>
      <c r="D59" s="384"/>
      <c r="E59" s="384"/>
      <c r="F59" s="384"/>
      <c r="G59" s="384"/>
      <c r="H59" s="384"/>
      <c r="I59" s="384"/>
      <c r="J59" s="384"/>
      <c r="K59" s="384"/>
      <c r="L59" s="109"/>
      <c r="M59" s="109"/>
    </row>
    <row r="60" spans="1:26" ht="15" customHeight="1" x14ac:dyDescent="0.2">
      <c r="A60" s="384"/>
      <c r="B60" s="384"/>
      <c r="C60" s="384"/>
      <c r="D60" s="384"/>
      <c r="E60" s="384"/>
      <c r="F60" s="384"/>
      <c r="G60" s="384"/>
      <c r="H60" s="384"/>
      <c r="I60" s="384"/>
      <c r="J60" s="384"/>
      <c r="K60" s="384"/>
      <c r="L60" s="109"/>
      <c r="M60" s="109"/>
    </row>
    <row r="61" spans="1:26" ht="15" customHeight="1" x14ac:dyDescent="0.2">
      <c r="C61" s="109"/>
      <c r="D61" s="109"/>
      <c r="E61" s="109"/>
      <c r="F61" s="109"/>
      <c r="G61" s="109"/>
      <c r="H61" s="109"/>
      <c r="I61" s="109"/>
      <c r="J61" s="109"/>
      <c r="K61" s="109"/>
      <c r="L61" s="109"/>
      <c r="M61" s="109"/>
    </row>
  </sheetData>
  <mergeCells count="1">
    <mergeCell ref="A1:Z1"/>
  </mergeCells>
  <conditionalFormatting sqref="D30:X49">
    <cfRule type="notContainsBlanks" dxfId="5" priority="1">
      <formula>LEN(TRIM(D30))&gt;0</formula>
    </cfRule>
  </conditionalFormatting>
  <conditionalFormatting sqref="E4:X4 D5:X24">
    <cfRule type="notContainsBlanks" dxfId="4" priority="3">
      <formula>LEN(TRIM(D4))&gt;0</formula>
    </cfRule>
  </conditionalFormatting>
  <conditionalFormatting sqref="E29:X29">
    <cfRule type="notContainsBlanks" dxfId="3" priority="2">
      <formula>LEN(TRIM(E29))&gt;0</formula>
    </cfRule>
  </conditionalFormatting>
  <dataValidations count="1">
    <dataValidation type="list" allowBlank="1" showInputMessage="1" showErrorMessage="1" sqref="D4:X24 D29:X49" xr:uid="{44BD75A8-7458-414A-A840-9291259A5B03}">
      <formula1>"+,-,0"</formula1>
    </dataValidation>
  </dataValidations>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5F981-E252-1342-9A32-1B5F70DAEBB5}">
  <sheetPr>
    <tabColor theme="9" tint="-0.499984740745262"/>
  </sheetPr>
  <dimension ref="A1:AF45"/>
  <sheetViews>
    <sheetView workbookViewId="0">
      <selection activeCell="D10" sqref="D10"/>
    </sheetView>
  </sheetViews>
  <sheetFormatPr baseColWidth="10" defaultRowHeight="15" outlineLevelCol="1" x14ac:dyDescent="0.2"/>
  <cols>
    <col min="1" max="1" width="7.1640625" style="119" bestFit="1" customWidth="1"/>
    <col min="2" max="2" width="12" style="119" bestFit="1" customWidth="1"/>
    <col min="3" max="3" width="17.1640625" style="119" customWidth="1"/>
    <col min="4" max="4" width="33" style="119" bestFit="1" customWidth="1"/>
    <col min="5" max="5" width="86.33203125" style="119" customWidth="1"/>
    <col min="6" max="6" width="12.5" style="119" customWidth="1"/>
    <col min="7" max="10" width="12.1640625" style="119" customWidth="1"/>
    <col min="11" max="11" width="12.6640625" style="119" bestFit="1" customWidth="1"/>
    <col min="12" max="12" width="49.83203125" style="119" customWidth="1"/>
    <col min="13" max="13" width="5.5" style="119" customWidth="1"/>
    <col min="14" max="14" width="23.33203125" style="119" bestFit="1" customWidth="1" outlineLevel="1"/>
    <col min="15" max="15" width="37" style="119" bestFit="1" customWidth="1" outlineLevel="1"/>
    <col min="16" max="16" width="16.5" style="119" bestFit="1" customWidth="1" outlineLevel="1"/>
    <col min="17" max="17" width="45.83203125" style="119" bestFit="1" customWidth="1" outlineLevel="1"/>
    <col min="18" max="18" width="109.6640625" style="119" bestFit="1" customWidth="1" outlineLevel="1"/>
    <col min="19" max="19" width="5.5" style="119" customWidth="1"/>
    <col min="20" max="20" width="22.6640625" style="119" customWidth="1"/>
    <col min="21" max="21" width="13.5" style="119" customWidth="1"/>
    <col min="22" max="22" width="83.33203125" style="119" customWidth="1"/>
    <col min="23" max="23" width="5.5" style="119" customWidth="1"/>
    <col min="24" max="24" width="17.33203125" style="119" bestFit="1" customWidth="1"/>
    <col min="25" max="25" width="15.6640625" style="119" bestFit="1" customWidth="1"/>
    <col min="26" max="26" width="4.33203125" style="119" customWidth="1"/>
    <col min="27" max="27" width="5.83203125" style="119" bestFit="1" customWidth="1"/>
    <col min="28" max="31" width="13.6640625" style="119" customWidth="1"/>
    <col min="32" max="16384" width="10.83203125" style="119"/>
  </cols>
  <sheetData>
    <row r="1" spans="1:32" ht="17" x14ac:dyDescent="0.25">
      <c r="A1" s="471" t="s">
        <v>2234</v>
      </c>
      <c r="B1" s="448"/>
      <c r="C1" s="448"/>
      <c r="D1" s="448"/>
      <c r="E1" s="448"/>
      <c r="F1" s="448"/>
      <c r="G1" s="448"/>
      <c r="H1" s="448"/>
      <c r="I1" s="448"/>
      <c r="J1" s="448"/>
      <c r="K1" s="448"/>
      <c r="L1" s="448"/>
    </row>
    <row r="2" spans="1:32" x14ac:dyDescent="0.2">
      <c r="A2" s="469" t="s">
        <v>2233</v>
      </c>
      <c r="B2" s="470"/>
      <c r="C2" s="470"/>
      <c r="D2" s="470"/>
      <c r="E2" s="470"/>
      <c r="F2" s="470"/>
      <c r="G2" s="470"/>
      <c r="H2" s="470"/>
      <c r="I2" s="470"/>
      <c r="J2" s="470"/>
      <c r="K2" s="470"/>
      <c r="L2" s="470"/>
    </row>
    <row r="3" spans="1:32" ht="18" customHeight="1" x14ac:dyDescent="0.2">
      <c r="A3" s="213" t="s">
        <v>40</v>
      </c>
      <c r="B3" s="214" t="s">
        <v>613</v>
      </c>
      <c r="C3" s="214" t="s">
        <v>222</v>
      </c>
      <c r="D3" s="214" t="s">
        <v>218</v>
      </c>
      <c r="E3" s="214" t="s">
        <v>172</v>
      </c>
      <c r="F3" s="215" t="s">
        <v>219</v>
      </c>
      <c r="G3" s="215" t="s">
        <v>220</v>
      </c>
      <c r="H3" s="215" t="s">
        <v>206</v>
      </c>
      <c r="I3" s="215" t="s">
        <v>221</v>
      </c>
      <c r="J3" s="216" t="s">
        <v>65</v>
      </c>
      <c r="K3" s="217" t="s">
        <v>62</v>
      </c>
      <c r="L3" s="227" t="s">
        <v>1076</v>
      </c>
      <c r="M3" s="145"/>
      <c r="N3" s="218" t="s">
        <v>607</v>
      </c>
      <c r="O3" s="218" t="s">
        <v>606</v>
      </c>
      <c r="P3" s="218" t="s">
        <v>200</v>
      </c>
      <c r="Q3" s="218" t="s">
        <v>900</v>
      </c>
      <c r="R3" s="218" t="s">
        <v>443</v>
      </c>
    </row>
    <row r="4" spans="1:32" s="121" customFormat="1" ht="64" x14ac:dyDescent="0.2">
      <c r="A4" s="573" t="s">
        <v>614</v>
      </c>
      <c r="B4" s="574" t="s">
        <v>892</v>
      </c>
      <c r="C4" s="573" t="s">
        <v>36</v>
      </c>
      <c r="D4" s="575" t="s">
        <v>901</v>
      </c>
      <c r="E4" s="575" t="s">
        <v>902</v>
      </c>
      <c r="F4" s="576">
        <v>3</v>
      </c>
      <c r="G4" s="576">
        <v>3</v>
      </c>
      <c r="H4" s="576">
        <v>5</v>
      </c>
      <c r="I4" s="576">
        <v>5</v>
      </c>
      <c r="J4" s="576">
        <f>IF(Trends[[#This Row],[Factors]]="","",SUM(F4:I4))</f>
        <v>16</v>
      </c>
      <c r="K4" s="573" t="str" cm="1">
        <f t="array" ref="K4">IF(Trends[[#This Row],[Factors]]="","",_xlfn.IFS(Trends[[#This Row],[Total]]&lt;Lists!AI$4,Lists!AJ$5,Trends[[#This Row],[Total]]&gt;=Lists!AI$3,Lists!AJ$3,AND(Trends[[#This Row],[Total]]&lt;Lists!AI$3,Trends[[#This Row],[Total]]&gt;=Lists!AI$4),Lists!AJ$4))</f>
        <v>Act Now</v>
      </c>
      <c r="L4" s="575" t="str">
        <f>Trends[[#This Row],['#]]&amp;". "&amp;Trends[[#This Row],[Trend Name]]&amp;": "&amp;Trends[[#This Row],[Description]]&amp;" ("&amp;Trends[[#This Row],[Trend Type]]&amp;" factors: "&amp;Trends[[#This Row],[Factors]]&amp;") (Total: "&amp;Trends[[#This Row],[Total]]&amp;"--&gt;"&amp;Trends[[#This Row],[Action]]&amp;")"</f>
        <v>A. Climate Adaptation Requirements: Tropical environmental stresses intensify, demanding enhanced vehicle durability and performance engineering. (Pre-Determined factors: 16) (Total: 16--&gt;Act Now)</v>
      </c>
      <c r="N4" s="172" t="str" cm="1">
        <f t="array" ref="N4:R20">_xlfn._xlws.SORT(_xlfn.VSTACK(_xlfn._xlws.SORT(_xlfn._xlws.FILTER(Drivers[[Maco-Environmental Forces]:[Driver Description]],Drivers[Driver Classification]=Lists!U3)),_xlfn._xlws.SORT(_xlfn._xlws.FILTER(Drivers[[Maco-Environmental Forces]:[Driver Description]],Drivers[Driver Classification]=Lists!U4)),_xlfn._xlws.SORT(_xlfn._xlws.FILTER(Drivers[[Maco-Environmental Forces]:[Driver Description]],Drivers[Driver Classification]=Lists!U5))),3)</f>
        <v>Political (Policy)</v>
      </c>
      <c r="O4" s="172" t="str">
        <v>U.S. Defense Budget Policy</v>
      </c>
      <c r="P4" s="172">
        <v>1</v>
      </c>
      <c r="Q4" s="172" t="str">
        <v>Fiscal Constraint and Deficit Reduction</v>
      </c>
      <c r="R4" s="142" t="str">
        <v>Congressional pressure to reduce federal spending and address national debt through defense budget cuts.</v>
      </c>
      <c r="AF4" s="121" t="s">
        <v>4</v>
      </c>
    </row>
    <row r="5" spans="1:32" ht="51" customHeight="1" x14ac:dyDescent="0.2">
      <c r="A5" s="573" t="s">
        <v>615</v>
      </c>
      <c r="B5" s="574" t="s">
        <v>893</v>
      </c>
      <c r="C5" s="573" t="s">
        <v>36</v>
      </c>
      <c r="D5" s="575" t="s">
        <v>903</v>
      </c>
      <c r="E5" s="575" t="s">
        <v>904</v>
      </c>
      <c r="F5" s="576">
        <v>2</v>
      </c>
      <c r="G5" s="576">
        <v>4</v>
      </c>
      <c r="H5" s="576">
        <v>4</v>
      </c>
      <c r="I5" s="576">
        <v>5</v>
      </c>
      <c r="J5" s="576">
        <f>IF(Trends[[#This Row],[Factors]]="","",SUM(F5:I5))</f>
        <v>15</v>
      </c>
      <c r="K5" s="573" t="str" cm="1">
        <f t="array" ref="K5">IF(Trends[[#This Row],[Factors]]="","",_xlfn.IFS(Trends[[#This Row],[Total]]&lt;Lists!AI$4,Lists!AJ$5,Trends[[#This Row],[Total]]&gt;=Lists!AI$3,Lists!AJ$3,AND(Trends[[#This Row],[Total]]&lt;Lists!AI$3,Trends[[#This Row],[Total]]&gt;=Lists!AI$4),Lists!AJ$4))</f>
        <v>Manage</v>
      </c>
      <c r="L5" s="575" t="str">
        <f>Trends[[#This Row],['#]]&amp;". "&amp;Trends[[#This Row],[Trend Name]]&amp;": "&amp;Trends[[#This Row],[Description]]&amp;" ("&amp;Trends[[#This Row],[Trend Type]]&amp;" factors: "&amp;Trends[[#This Row],[Factors]]&amp;") (Total: "&amp;Trends[[#This Row],[Total]]&amp;"--&gt;"&amp;Trends[[#This Row],[Action]]&amp;")"</f>
        <v>B. Manufacturing Workforce Constraints: Aging workforce and skills gaps limit production capacity and drive automation investments. (Pre-Determined factors: 7) (Total: 15--&gt;Manage)</v>
      </c>
      <c r="N5" s="572" t="str">
        <v>Political (Policy)</v>
      </c>
      <c r="O5" s="572" t="str">
        <v>U.S. Export Control Regulations</v>
      </c>
      <c r="P5" s="172">
        <v>2</v>
      </c>
      <c r="Q5" s="172" t="str">
        <v>Geopolitical Competition and Security Concerns</v>
      </c>
      <c r="R5" s="142" t="str">
        <v>Rising tensions with China increase U.S. scrutiny of technology transfers and foreign military partnerships.</v>
      </c>
    </row>
    <row r="6" spans="1:32" ht="64" x14ac:dyDescent="0.2">
      <c r="A6" s="573" t="s">
        <v>616</v>
      </c>
      <c r="B6" s="574" t="s">
        <v>894</v>
      </c>
      <c r="C6" s="573" t="s">
        <v>36</v>
      </c>
      <c r="D6" s="575" t="s">
        <v>905</v>
      </c>
      <c r="E6" s="575" t="s">
        <v>906</v>
      </c>
      <c r="F6" s="576">
        <v>2</v>
      </c>
      <c r="G6" s="576">
        <v>2</v>
      </c>
      <c r="H6" s="576">
        <v>4</v>
      </c>
      <c r="I6" s="576">
        <v>5</v>
      </c>
      <c r="J6" s="576">
        <f>IF(Trends[[#This Row],[Factors]]="","",SUM(F6:I6))</f>
        <v>13</v>
      </c>
      <c r="K6" s="573" t="str" cm="1">
        <f t="array" ref="K6">IF(Trends[[#This Row],[Factors]]="","",_xlfn.IFS(Trends[[#This Row],[Total]]&lt;Lists!AI$4,Lists!AJ$5,Trends[[#This Row],[Total]]&gt;=Lists!AI$3,Lists!AJ$3,AND(Trends[[#This Row],[Total]]&lt;Lists!AI$3,Trends[[#This Row],[Total]]&gt;=Lists!AI$4),Lists!AJ$4))</f>
        <v>Manage</v>
      </c>
      <c r="L6" s="575" t="str">
        <f>Trends[[#This Row],['#]]&amp;". "&amp;Trends[[#This Row],[Trend Name]]&amp;": "&amp;Trends[[#This Row],[Description]]&amp;" ("&amp;Trends[[#This Row],[Trend Type]]&amp;" factors: "&amp;Trends[[#This Row],[Factors]]&amp;") (Total: "&amp;Trends[[#This Row],[Total]]&amp;"--&gt;"&amp;Trends[[#This Row],[Action]]&amp;")"</f>
        <v>C. Western Governance Standards Enforcement: Geopolitical alignment drives anti-corruption enforcement and cyber threats intensify against democratic nations. (Pre-Determined factors: 13; 15; 21) (Total: 13--&gt;Manage)</v>
      </c>
      <c r="N6" s="172" t="str">
        <v>Political (Policy)</v>
      </c>
      <c r="O6" s="172" t="str">
        <v>Southeast Asian Defense Procurement Policy</v>
      </c>
      <c r="P6" s="172">
        <v>3</v>
      </c>
      <c r="Q6" s="172" t="str">
        <v>Regional Security Tensions and Modernization</v>
      </c>
      <c r="R6" s="142" t="str">
        <v>Territorial disputes and perceived threats drive Southeast Asian nations to modernize armed forces rapidly.</v>
      </c>
    </row>
    <row r="7" spans="1:32" ht="48" x14ac:dyDescent="0.2">
      <c r="A7" s="573" t="s">
        <v>617</v>
      </c>
      <c r="B7" s="574" t="s">
        <v>920</v>
      </c>
      <c r="C7" s="573" t="s">
        <v>36</v>
      </c>
      <c r="D7" s="575" t="s">
        <v>907</v>
      </c>
      <c r="E7" s="575" t="s">
        <v>908</v>
      </c>
      <c r="F7" s="576">
        <v>2</v>
      </c>
      <c r="G7" s="576">
        <v>3</v>
      </c>
      <c r="H7" s="576">
        <v>3</v>
      </c>
      <c r="I7" s="576">
        <v>5</v>
      </c>
      <c r="J7" s="576">
        <f>IF(Trends[[#This Row],[Factors]]="","",SUM(F7:I7))</f>
        <v>13</v>
      </c>
      <c r="K7" s="573" t="str" cm="1">
        <f t="array" ref="K7">IF(Trends[[#This Row],[Factors]]="","",_xlfn.IFS(Trends[[#This Row],[Total]]&lt;Lists!AI$4,Lists!AJ$5,Trends[[#This Row],[Total]]&gt;=Lists!AI$3,Lists!AJ$3,AND(Trends[[#This Row],[Total]]&lt;Lists!AI$3,Trends[[#This Row],[Total]]&gt;=Lists!AI$4),Lists!AJ$4))</f>
        <v>Manage</v>
      </c>
      <c r="L7" s="575" t="str">
        <f>Trends[[#This Row],['#]]&amp;". "&amp;Trends[[#This Row],[Trend Name]]&amp;": "&amp;Trends[[#This Row],[Description]]&amp;" ("&amp;Trends[[#This Row],[Trend Type]]&amp;" factors: "&amp;Trends[[#This Row],[Factors]]&amp;") (Total: "&amp;Trends[[#This Row],[Total]]&amp;"--&gt;"&amp;Trends[[#This Row],[Action]]&amp;")"</f>
        <v>D. Relationship-Based Market Entry: Cultural norms require long-term trust-building and patient engagement in Southeast Asian markets. (Pre-Determined factors: 8) (Total: 13--&gt;Manage)</v>
      </c>
      <c r="N7" s="172" t="str">
        <v>Economic</v>
      </c>
      <c r="O7" s="172" t="str">
        <v>Southeast Asian Economic Growth</v>
      </c>
      <c r="P7" s="172">
        <v>4</v>
      </c>
      <c r="Q7" s="172" t="str">
        <v>Regional Economic Development and Industrialization</v>
      </c>
      <c r="R7" s="142" t="str">
        <v>Continued infrastructure investment, manufacturing growth, and trade expansion fuel economic expansion across Southeast Asia.</v>
      </c>
    </row>
    <row r="8" spans="1:32" ht="71" customHeight="1" x14ac:dyDescent="0.2">
      <c r="A8" s="577" t="s">
        <v>618</v>
      </c>
      <c r="B8" s="578" t="s">
        <v>895</v>
      </c>
      <c r="C8" s="577" t="s">
        <v>47</v>
      </c>
      <c r="D8" s="579" t="s">
        <v>909</v>
      </c>
      <c r="E8" s="579" t="s">
        <v>910</v>
      </c>
      <c r="F8" s="580">
        <v>4</v>
      </c>
      <c r="G8" s="580">
        <v>2</v>
      </c>
      <c r="H8" s="580">
        <v>5</v>
      </c>
      <c r="I8" s="580">
        <v>4</v>
      </c>
      <c r="J8" s="580">
        <f>IF(Trends[[#This Row],[Factors]]="","",SUM(F8:I8))</f>
        <v>15</v>
      </c>
      <c r="K8" s="577" t="str" cm="1">
        <f t="array" ref="K8">IF(Trends[[#This Row],[Factors]]="","",_xlfn.IFS(Trends[[#This Row],[Total]]&lt;Lists!AI$4,Lists!AJ$5,Trends[[#This Row],[Total]]&gt;=Lists!AI$3,Lists!AJ$3,AND(Trends[[#This Row],[Total]]&lt;Lists!AI$3,Trends[[#This Row],[Total]]&gt;=Lists!AI$4),Lists!AJ$4))</f>
        <v>Manage</v>
      </c>
      <c r="L8" s="579" t="str">
        <f>Trends[[#This Row],['#]]&amp;". "&amp;Trends[[#This Row],[Trend Name]]&amp;": "&amp;Trends[[#This Row],[Description]]&amp;" ("&amp;Trends[[#This Row],[Trend Type]]&amp;" factors: "&amp;Trends[[#This Row],[Factors]]&amp;") (Total: "&amp;Trends[[#This Row],[Total]]&amp;"--&gt;"&amp;Trends[[#This Row],[Action]]&amp;")"</f>
        <v>E. Defense Technology Transformation: AI, autonomous systems, and manufacturing automation adoption timing creates competitive differentiation uncertainty. (Critical Uncertain factors: 10; 11; 12) (Total: 15--&gt;Manage)</v>
      </c>
      <c r="N8" s="172" t="str">
        <v>Economic</v>
      </c>
      <c r="O8" s="172" t="str">
        <v>Raw Material and Component Costs</v>
      </c>
      <c r="P8" s="172">
        <v>5</v>
      </c>
      <c r="Q8" s="172" t="str">
        <v>Global Supply Chain Volatility</v>
      </c>
      <c r="R8" s="142" t="str">
        <v>Geopolitical tensions, trade policies, and post-pandemic disruptions create persistent material availability and pricing fluctuations.</v>
      </c>
    </row>
    <row r="9" spans="1:32" ht="48" x14ac:dyDescent="0.2">
      <c r="A9" s="581" t="s">
        <v>619</v>
      </c>
      <c r="B9" s="582" t="s">
        <v>921</v>
      </c>
      <c r="C9" s="581" t="s">
        <v>47</v>
      </c>
      <c r="D9" s="583" t="s">
        <v>913</v>
      </c>
      <c r="E9" s="583" t="s">
        <v>914</v>
      </c>
      <c r="F9" s="584">
        <v>3</v>
      </c>
      <c r="G9" s="584">
        <v>2</v>
      </c>
      <c r="H9" s="584">
        <v>5</v>
      </c>
      <c r="I9" s="584">
        <v>4</v>
      </c>
      <c r="J9" s="584">
        <f>IF(Trends[[#This Row],[Factors]]="","",SUM(F9:I9))</f>
        <v>14</v>
      </c>
      <c r="K9" s="581" t="str" cm="1">
        <f t="array" ref="K9">IF(Trends[[#This Row],[Factors]]="","",_xlfn.IFS(Trends[[#This Row],[Total]]&lt;Lists!AI$4,Lists!AJ$5,Trends[[#This Row],[Total]]&gt;=Lists!AI$3,Lists!AJ$3,AND(Trends[[#This Row],[Total]]&lt;Lists!AI$3,Trends[[#This Row],[Total]]&gt;=Lists!AI$4),Lists!AJ$4))</f>
        <v>Manage</v>
      </c>
      <c r="L9" s="583" t="str">
        <f>Trends[[#This Row],['#]]&amp;". "&amp;Trends[[#This Row],[Trend Name]]&amp;": "&amp;Trends[[#This Row],[Description]]&amp;" ("&amp;Trends[[#This Row],[Trend Type]]&amp;" factors: "&amp;Trends[[#This Row],[Factors]]&amp;") (Total: "&amp;Trends[[#This Row],[Total]]&amp;"--&gt;"&amp;Trends[[#This Row],[Action]]&amp;")"</f>
        <v>F. U.S. Defense Budget Constraint: Fiscal pressures reduce domestic procurement and challenge alliance commitment perceptions. (Critical Uncertain factors: 1) (Total: 14--&gt;Manage)</v>
      </c>
      <c r="N9" s="172" t="str">
        <v>Social (Culture)</v>
      </c>
      <c r="O9" s="172" t="str">
        <v>Advanced Manufacturing Workforce Availability</v>
      </c>
      <c r="P9" s="172">
        <v>7</v>
      </c>
      <c r="Q9" s="172" t="str">
        <v>Demographic Shifts and Education Gaps</v>
      </c>
      <c r="R9" s="142" t="str">
        <v>Baby boomer retirements accelerate; technical education enrollment declining; manufacturing careers perceived as less desirable by younger generations.</v>
      </c>
      <c r="S9" s="145"/>
    </row>
    <row r="10" spans="1:32" ht="48" x14ac:dyDescent="0.2">
      <c r="A10" s="585" t="s">
        <v>620</v>
      </c>
      <c r="B10" s="586" t="s">
        <v>897</v>
      </c>
      <c r="C10" s="585" t="s">
        <v>47</v>
      </c>
      <c r="D10" s="587" t="s">
        <v>911</v>
      </c>
      <c r="E10" s="587" t="s">
        <v>912</v>
      </c>
      <c r="F10" s="588">
        <v>2</v>
      </c>
      <c r="G10" s="588">
        <v>2</v>
      </c>
      <c r="H10" s="588">
        <v>5</v>
      </c>
      <c r="I10" s="588">
        <v>5</v>
      </c>
      <c r="J10" s="588">
        <f>IF(Trends[[#This Row],[Factors]]="","",SUM(F10:I10))</f>
        <v>14</v>
      </c>
      <c r="K10" s="585" t="str" cm="1">
        <f t="array" ref="K10">IF(Trends[[#This Row],[Factors]]="","",_xlfn.IFS(Trends[[#This Row],[Total]]&lt;Lists!AI$4,Lists!AJ$5,Trends[[#This Row],[Total]]&gt;=Lists!AI$3,Lists!AJ$3,AND(Trends[[#This Row],[Total]]&lt;Lists!AI$3,Trends[[#This Row],[Total]]&gt;=Lists!AI$4),Lists!AJ$4))</f>
        <v>Manage</v>
      </c>
      <c r="L10" s="587" t="str">
        <f>Trends[[#This Row],['#]]&amp;". "&amp;Trends[[#This Row],[Trend Name]]&amp;": "&amp;Trends[[#This Row],[Description]]&amp;" ("&amp;Trends[[#This Row],[Trend Type]]&amp;" factors: "&amp;Trends[[#This Row],[Factors]]&amp;") (Total: "&amp;Trends[[#This Row],[Total]]&amp;"--&gt;"&amp;Trends[[#This Row],[Action]]&amp;")"</f>
        <v>G. Geopolitical Security Escalation: China assertiveness drives regional tensions, defense modernization urgency, and U.S. alliance value. (Critical Uncertain factors: 2; 3; 9; 19) (Total: 14--&gt;Manage)</v>
      </c>
      <c r="N10" s="172" t="str">
        <v>Social (Culture)</v>
      </c>
      <c r="O10" s="172" t="str">
        <v>Cultural Business Relationship Expectations</v>
      </c>
      <c r="P10" s="172">
        <v>8</v>
      </c>
      <c r="Q10" s="172" t="str">
        <v>Relationship-Based Commerce and Trust</v>
      </c>
      <c r="R10" s="142" t="str">
        <v>Confucian and collectivist cultural values prioritize interpersonal trust and long-term mutual benefit over contract-focused transactions.</v>
      </c>
      <c r="S10" s="145"/>
    </row>
    <row r="11" spans="1:32" ht="48" x14ac:dyDescent="0.2">
      <c r="A11" s="589" t="s">
        <v>899</v>
      </c>
      <c r="B11" s="590" t="s">
        <v>898</v>
      </c>
      <c r="C11" s="589" t="s">
        <v>47</v>
      </c>
      <c r="D11" s="591" t="s">
        <v>668</v>
      </c>
      <c r="E11" s="591" t="s">
        <v>915</v>
      </c>
      <c r="F11" s="592">
        <v>2</v>
      </c>
      <c r="G11" s="592">
        <v>3</v>
      </c>
      <c r="H11" s="592">
        <v>4</v>
      </c>
      <c r="I11" s="592">
        <v>5</v>
      </c>
      <c r="J11" s="592">
        <f>IF(Trends[[#This Row],[Factors]]="","",SUM(F11:I11))</f>
        <v>14</v>
      </c>
      <c r="K11" s="589" t="str" cm="1">
        <f t="array" ref="K11">IF(Trends[[#This Row],[Factors]]="","",_xlfn.IFS(Trends[[#This Row],[Total]]&lt;Lists!AI$4,Lists!AJ$5,Trends[[#This Row],[Total]]&gt;=Lists!AI$3,Lists!AJ$3,AND(Trends[[#This Row],[Total]]&lt;Lists!AI$3,Trends[[#This Row],[Total]]&gt;=Lists!AI$4),Lists!AJ$4))</f>
        <v>Manage</v>
      </c>
      <c r="L11" s="591" t="str">
        <f>Trends[[#This Row],['#]]&amp;". "&amp;Trends[[#This Row],[Trend Name]]&amp;": "&amp;Trends[[#This Row],[Description]]&amp;" ("&amp;Trends[[#This Row],[Trend Type]]&amp;" factors: "&amp;Trends[[#This Row],[Factors]]&amp;") (Total: "&amp;Trends[[#This Row],[Total]]&amp;"--&gt;"&amp;Trends[[#This Row],[Action]]&amp;")"</f>
        <v>H. Southeast Asian Economic Growth: Regional prosperity enables sustained defense spending and technological sophistication demands. (Critical Uncertain factors: 4) (Total: 14--&gt;Manage)</v>
      </c>
      <c r="N11" s="172" t="str">
        <v>Social (Culture)</v>
      </c>
      <c r="O11" s="172" t="str">
        <v>Perception of American Defense Products</v>
      </c>
      <c r="P11" s="172">
        <v>9</v>
      </c>
      <c r="Q11" s="172" t="str">
        <v>U.S. Security Partnership and Alliance Value</v>
      </c>
      <c r="R11" s="142" t="str">
        <v>Regional nations view U.S. defense partnerships as deterrents to aggression and signals of security commitment.</v>
      </c>
      <c r="S11" s="145"/>
    </row>
    <row r="12" spans="1:32" ht="48" x14ac:dyDescent="0.2">
      <c r="A12" s="589" t="s">
        <v>129</v>
      </c>
      <c r="B12" s="593" t="s">
        <v>896</v>
      </c>
      <c r="C12" s="589" t="s">
        <v>47</v>
      </c>
      <c r="D12" s="591" t="s">
        <v>916</v>
      </c>
      <c r="E12" s="591" t="s">
        <v>917</v>
      </c>
      <c r="F12" s="592">
        <v>2</v>
      </c>
      <c r="G12" s="592">
        <v>3</v>
      </c>
      <c r="H12" s="592">
        <v>3</v>
      </c>
      <c r="I12" s="592">
        <v>4</v>
      </c>
      <c r="J12" s="592">
        <f>IF(Trends[[#This Row],[Factors]]="","",SUM(F12:I12))</f>
        <v>12</v>
      </c>
      <c r="K12" s="589" t="str" cm="1">
        <f t="array" ref="K12">IF(Trends[[#This Row],[Factors]]="","",_xlfn.IFS(Trends[[#This Row],[Total]]&lt;Lists!AI$4,Lists!AJ$5,Trends[[#This Row],[Total]]&gt;=Lists!AI$3,Lists!AJ$3,AND(Trends[[#This Row],[Total]]&lt;Lists!AI$3,Trends[[#This Row],[Total]]&gt;=Lists!AI$4),Lists!AJ$4))</f>
        <v>Manage</v>
      </c>
      <c r="L12" s="591" t="str">
        <f>Trends[[#This Row],['#]]&amp;". "&amp;Trends[[#This Row],[Trend Name]]&amp;": "&amp;Trends[[#This Row],[Description]]&amp;" ("&amp;Trends[[#This Row],[Trend Type]]&amp;" factors: "&amp;Trends[[#This Row],[Factors]]&amp;") (Total: "&amp;Trends[[#This Row],[Total]]&amp;"--&gt;"&amp;Trends[[#This Row],[Action]]&amp;")"</f>
        <v>I. Internal Security Threats: Extremism and insurgencies expand addressable markets beyond conventional military applications. (Critical Uncertain factors: 20) (Total: 12--&gt;Manage)</v>
      </c>
      <c r="N12" s="172" t="str">
        <v>Technological</v>
      </c>
      <c r="O12" s="172" t="str">
        <v>Autonomous and Unmanned Vehicle Systems</v>
      </c>
      <c r="P12" s="172">
        <v>10</v>
      </c>
      <c r="Q12" s="172" t="str">
        <v>Artificial Intelligence Military Applications</v>
      </c>
      <c r="R12" s="142" t="str">
        <v>Machine learning, computer vision, and autonomous decision-making systems increasingly integrated into defense platforms.</v>
      </c>
      <c r="S12" s="145"/>
    </row>
    <row r="13" spans="1:32" ht="48" x14ac:dyDescent="0.2">
      <c r="A13" s="589" t="s">
        <v>918</v>
      </c>
      <c r="B13" s="593">
        <v>5</v>
      </c>
      <c r="C13" s="589" t="s">
        <v>470</v>
      </c>
      <c r="D13" s="591" t="s">
        <v>686</v>
      </c>
      <c r="E13" s="591" t="s">
        <v>919</v>
      </c>
      <c r="F13" s="592">
        <v>2</v>
      </c>
      <c r="G13" s="592">
        <v>2</v>
      </c>
      <c r="H13" s="592">
        <v>4</v>
      </c>
      <c r="I13" s="592">
        <v>3</v>
      </c>
      <c r="J13" s="592">
        <f>IF(Trends[[#This Row],[Factors]]="","",SUM(F13:I13))</f>
        <v>11</v>
      </c>
      <c r="K13" s="589" t="str" cm="1">
        <f t="array" ref="K13">IF(Trends[[#This Row],[Factors]]="","",_xlfn.IFS(Trends[[#This Row],[Total]]&lt;Lists!AI$4,Lists!AJ$5,Trends[[#This Row],[Total]]&gt;=Lists!AI$3,Lists!AJ$3,AND(Trends[[#This Row],[Total]]&lt;Lists!AI$3,Trends[[#This Row],[Total]]&gt;=Lists!AI$4),Lists!AJ$4))</f>
        <v>Manage</v>
      </c>
      <c r="L13" s="591" t="str">
        <f>Trends[[#This Row],['#]]&amp;". "&amp;Trends[[#This Row],[Trend Name]]&amp;": "&amp;Trends[[#This Row],[Description]]&amp;" ("&amp;Trends[[#This Row],[Trend Type]]&amp;" factors: "&amp;Trends[[#This Row],[Factors]]&amp;") (Total: "&amp;Trends[[#This Row],[Total]]&amp;"--&gt;"&amp;Trends[[#This Row],[Action]]&amp;")"</f>
        <v>J. Global Supply Chain Volatility: Geopolitical disruptions and material shortages create unpredictable cost and delivery challenges. (Exogenous contingency factors: 5) (Total: 11--&gt;Manage)</v>
      </c>
      <c r="N13" s="172" t="str">
        <v>Technological</v>
      </c>
      <c r="O13" s="172" t="str">
        <v>Advanced Armor and Active Protection</v>
      </c>
      <c r="P13" s="172">
        <v>11</v>
      </c>
      <c r="Q13" s="172" t="str">
        <v>Drone and Precision Weapon Proliferation</v>
      </c>
      <c r="R13" s="142" t="str">
        <v>Low-cost unmanned aerial systems and anti-tank guided missiles potentially threaten conventional armored vehicle survivability.</v>
      </c>
      <c r="S13" s="145"/>
    </row>
    <row r="14" spans="1:32" ht="16" x14ac:dyDescent="0.2">
      <c r="N14" s="172" t="str">
        <v>Technological</v>
      </c>
      <c r="O14" s="172" t="str">
        <v>Digital Manufacturing and Industry 4.0</v>
      </c>
      <c r="P14" s="172">
        <v>12</v>
      </c>
      <c r="Q14" s="172" t="str">
        <v>Manufacturing Technology Advancement and Automation</v>
      </c>
      <c r="R14" s="142" t="str">
        <v>Robotics, AI-driven quality control, and automated production systems transform manufacturing efficiency and precision.</v>
      </c>
      <c r="S14" s="145"/>
    </row>
    <row r="15" spans="1:32" ht="16" x14ac:dyDescent="0.2">
      <c r="N15" s="172" t="str">
        <v>Legal (Laws)</v>
      </c>
      <c r="O15" s="172" t="str">
        <v>Foreign Corrupt Practices Act Compliance</v>
      </c>
      <c r="P15" s="172">
        <v>13</v>
      </c>
      <c r="Q15" s="172" t="str">
        <v>Global Anti-Corruption Enforcement Intensification</v>
      </c>
      <c r="R15" s="142" t="str">
        <v>Increased international coordination on anti-bribery enforcement through OECD conventions and multilateral cooperation.</v>
      </c>
      <c r="S15" s="145"/>
    </row>
    <row r="16" spans="1:32" ht="16" x14ac:dyDescent="0.2">
      <c r="N16" s="172" t="str">
        <v>Legal (Laws)</v>
      </c>
      <c r="O16" s="172" t="str">
        <v>Defense Industry Export Licensing Requirements</v>
      </c>
      <c r="P16" s="172">
        <v>15</v>
      </c>
      <c r="Q16" s="172" t="str">
        <v>Geopolitical Alignment and Human Rights</v>
      </c>
      <c r="R16" s="142" t="str">
        <v>Export licensing increasingly scrutinizes human rights records and geopolitical alignment of recipient nations.</v>
      </c>
      <c r="S16" s="145"/>
    </row>
    <row r="17" spans="1:19" ht="16" x14ac:dyDescent="0.2">
      <c r="A17" s="221"/>
      <c r="B17" s="221"/>
      <c r="C17" s="221"/>
      <c r="D17" s="221"/>
      <c r="E17" s="221"/>
      <c r="F17" s="221"/>
      <c r="G17" s="221"/>
      <c r="H17" s="221"/>
      <c r="I17" s="221"/>
      <c r="J17" s="221"/>
      <c r="K17" s="221"/>
      <c r="L17" s="221"/>
      <c r="N17" s="172" t="str">
        <v>Environmental / Infrastructure</v>
      </c>
      <c r="O17" s="172" t="str">
        <v>Southeast Asian Climate and Terrain</v>
      </c>
      <c r="P17" s="172">
        <v>16</v>
      </c>
      <c r="Q17" s="172" t="str">
        <v>Climate Change and Extreme Weather</v>
      </c>
      <c r="R17" s="142" t="str">
        <v>Rising temperatures, intensified monsoons, and sea-level rise increase severity of environmental stresses on military equipment.</v>
      </c>
      <c r="S17" s="145"/>
    </row>
    <row r="18" spans="1:19" ht="16" x14ac:dyDescent="0.2">
      <c r="B18" s="145"/>
      <c r="N18" s="172" t="str">
        <v>Security and Stability</v>
      </c>
      <c r="O18" s="172" t="str">
        <v>Regional Territorial Disputes and Tensions</v>
      </c>
      <c r="P18" s="172">
        <v>19</v>
      </c>
      <c r="Q18" s="172" t="str">
        <v>Maritime Sovereignty Competition and Chinese Assertiveness</v>
      </c>
      <c r="R18" s="142" t="str">
        <v>China's territorial expansion claims and military activities in disputed waters increase regional security concerns and arms race dynamics.</v>
      </c>
      <c r="S18" s="145"/>
    </row>
    <row r="19" spans="1:19" ht="16" x14ac:dyDescent="0.2">
      <c r="B19" s="145"/>
      <c r="N19" s="172" t="str">
        <v>Security and Stability</v>
      </c>
      <c r="O19" s="172" t="str">
        <v>Terrorism and Internal Insurgency Threats</v>
      </c>
      <c r="P19" s="172">
        <v>20</v>
      </c>
      <c r="Q19" s="172" t="str">
        <v>Extremism and Separatist Movement Persistence</v>
      </c>
      <c r="R19" s="142" t="str">
        <v>Religious extremism, ethnic separatism, and political instability sustain internal security threats requiring ongoing military and police responses.</v>
      </c>
      <c r="S19" s="145"/>
    </row>
    <row r="20" spans="1:19" ht="16" x14ac:dyDescent="0.2">
      <c r="B20" s="145"/>
      <c r="N20" s="172" t="str">
        <v>Security and Stability</v>
      </c>
      <c r="O20" s="172" t="str">
        <v>Cybersecurity Threats to Defense Industrial Base</v>
      </c>
      <c r="P20" s="172">
        <v>21</v>
      </c>
      <c r="Q20" s="172" t="str">
        <v>Nation-State Cyber Espionage Campaigns</v>
      </c>
      <c r="R20" s="142" t="str">
        <v>China, Russia, and other actors conduct persistent cyber operations to steal defense technologies and gain military advantages.</v>
      </c>
      <c r="S20" s="145"/>
    </row>
    <row r="21" spans="1:19" x14ac:dyDescent="0.2">
      <c r="B21" s="145"/>
      <c r="N21" s="172"/>
      <c r="O21" s="172"/>
      <c r="P21" s="172"/>
      <c r="Q21" s="172"/>
      <c r="R21" s="172"/>
      <c r="S21" s="145"/>
    </row>
    <row r="22" spans="1:19" x14ac:dyDescent="0.2">
      <c r="B22" s="145"/>
      <c r="N22" s="172"/>
      <c r="O22" s="172"/>
      <c r="P22" s="172"/>
      <c r="Q22" s="172"/>
      <c r="R22" s="172"/>
    </row>
    <row r="23" spans="1:19" x14ac:dyDescent="0.2">
      <c r="B23" s="145"/>
      <c r="N23" s="172"/>
      <c r="O23" s="172"/>
      <c r="P23" s="172"/>
      <c r="Q23" s="172"/>
      <c r="R23" s="172"/>
    </row>
    <row r="24" spans="1:19" x14ac:dyDescent="0.2">
      <c r="B24" s="145"/>
      <c r="N24" s="172"/>
      <c r="O24" s="172"/>
      <c r="P24" s="172"/>
      <c r="Q24" s="172"/>
      <c r="R24" s="172"/>
    </row>
    <row r="25" spans="1:19" x14ac:dyDescent="0.2">
      <c r="B25" s="145"/>
      <c r="N25" s="172"/>
      <c r="O25" s="172"/>
      <c r="P25" s="172"/>
      <c r="Q25" s="172"/>
      <c r="R25" s="172"/>
    </row>
    <row r="26" spans="1:19" x14ac:dyDescent="0.2">
      <c r="B26" s="145"/>
      <c r="N26" s="172"/>
      <c r="O26" s="172"/>
      <c r="P26" s="172"/>
      <c r="Q26" s="172"/>
      <c r="R26" s="172"/>
    </row>
    <row r="27" spans="1:19" x14ac:dyDescent="0.2">
      <c r="B27" s="145"/>
      <c r="N27" s="172"/>
      <c r="O27" s="172"/>
      <c r="P27" s="172"/>
      <c r="Q27" s="172"/>
      <c r="R27" s="172"/>
    </row>
    <row r="28" spans="1:19" x14ac:dyDescent="0.2">
      <c r="B28" s="145"/>
      <c r="N28" s="172"/>
      <c r="O28" s="172"/>
      <c r="P28" s="172"/>
      <c r="Q28" s="172"/>
      <c r="R28" s="172"/>
    </row>
    <row r="29" spans="1:19" x14ac:dyDescent="0.2">
      <c r="B29" s="145"/>
      <c r="N29" s="172"/>
      <c r="O29" s="172"/>
      <c r="P29" s="172"/>
      <c r="Q29" s="172"/>
      <c r="R29" s="172"/>
    </row>
    <row r="30" spans="1:19" x14ac:dyDescent="0.2">
      <c r="N30" s="172"/>
      <c r="O30" s="172"/>
      <c r="P30" s="172"/>
      <c r="Q30" s="172"/>
      <c r="R30" s="172"/>
    </row>
    <row r="31" spans="1:19" x14ac:dyDescent="0.2">
      <c r="N31" s="172"/>
      <c r="O31" s="172"/>
      <c r="P31" s="172"/>
      <c r="Q31" s="172"/>
      <c r="R31" s="172"/>
    </row>
    <row r="32" spans="1:19" x14ac:dyDescent="0.2">
      <c r="N32" s="172"/>
      <c r="O32" s="172"/>
      <c r="P32" s="172"/>
      <c r="Q32" s="172"/>
      <c r="R32" s="172"/>
    </row>
    <row r="33" spans="14:18" x14ac:dyDescent="0.2">
      <c r="N33" s="172"/>
      <c r="O33" s="172"/>
      <c r="P33" s="172"/>
      <c r="Q33" s="172"/>
      <c r="R33" s="172"/>
    </row>
    <row r="34" spans="14:18" x14ac:dyDescent="0.2">
      <c r="N34" s="172"/>
      <c r="O34" s="172"/>
      <c r="P34" s="172"/>
      <c r="Q34" s="172"/>
      <c r="R34" s="172"/>
    </row>
    <row r="35" spans="14:18" x14ac:dyDescent="0.2">
      <c r="N35" s="172"/>
      <c r="O35" s="172"/>
      <c r="P35" s="172"/>
      <c r="Q35" s="172"/>
      <c r="R35" s="172"/>
    </row>
    <row r="36" spans="14:18" x14ac:dyDescent="0.2">
      <c r="N36" s="172"/>
      <c r="O36" s="172"/>
      <c r="P36" s="172"/>
      <c r="Q36" s="172"/>
      <c r="R36" s="172"/>
    </row>
    <row r="37" spans="14:18" x14ac:dyDescent="0.2">
      <c r="N37" s="172"/>
      <c r="O37" s="172"/>
      <c r="P37" s="172"/>
      <c r="Q37" s="172"/>
      <c r="R37" s="172"/>
    </row>
    <row r="38" spans="14:18" x14ac:dyDescent="0.2">
      <c r="N38" s="172"/>
      <c r="O38" s="172"/>
      <c r="P38" s="172"/>
      <c r="Q38" s="172"/>
      <c r="R38" s="172"/>
    </row>
    <row r="39" spans="14:18" x14ac:dyDescent="0.2">
      <c r="N39" s="172"/>
      <c r="O39" s="172"/>
      <c r="P39" s="172"/>
      <c r="Q39" s="172"/>
      <c r="R39" s="172"/>
    </row>
    <row r="40" spans="14:18" x14ac:dyDescent="0.2">
      <c r="N40" s="172"/>
      <c r="O40" s="172"/>
      <c r="P40" s="172"/>
      <c r="Q40" s="172"/>
      <c r="R40" s="172"/>
    </row>
    <row r="41" spans="14:18" x14ac:dyDescent="0.2">
      <c r="N41" s="172"/>
      <c r="O41" s="172"/>
      <c r="P41" s="172"/>
      <c r="Q41" s="172"/>
      <c r="R41" s="172"/>
    </row>
    <row r="42" spans="14:18" x14ac:dyDescent="0.2">
      <c r="N42" s="172"/>
      <c r="O42" s="172"/>
      <c r="P42" s="172"/>
      <c r="Q42" s="172"/>
      <c r="R42" s="172"/>
    </row>
    <row r="43" spans="14:18" x14ac:dyDescent="0.2">
      <c r="N43" s="172"/>
      <c r="O43" s="172"/>
      <c r="P43" s="172"/>
      <c r="Q43" s="172"/>
      <c r="R43" s="172"/>
    </row>
    <row r="44" spans="14:18" x14ac:dyDescent="0.2">
      <c r="N44" s="172"/>
      <c r="O44" s="172"/>
      <c r="P44" s="172"/>
      <c r="Q44" s="172"/>
      <c r="R44" s="172"/>
    </row>
    <row r="45" spans="14:18" x14ac:dyDescent="0.2">
      <c r="N45" s="172"/>
      <c r="O45" s="172"/>
      <c r="P45" s="172"/>
      <c r="Q45" s="172"/>
      <c r="R45" s="172"/>
    </row>
  </sheetData>
  <mergeCells count="2">
    <mergeCell ref="A2:L2"/>
    <mergeCell ref="A1:L1"/>
  </mergeCells>
  <phoneticPr fontId="1" type="noConversion"/>
  <conditionalFormatting sqref="N3:R51">
    <cfRule type="notContainsBlanks" dxfId="2" priority="3">
      <formula>LEN(TRIM(N3))&gt;0</formula>
    </cfRule>
  </conditionalFormatting>
  <dataValidations count="1">
    <dataValidation type="list" allowBlank="1" showInputMessage="1" showErrorMessage="1" sqref="F4:I13" xr:uid="{2698F824-E626-D148-95F2-5E2683701493}">
      <formula1>"1,2,3,4,5"</formula1>
    </dataValidation>
  </dataValidations>
  <pageMargins left="0.7" right="0.7" top="0.75" bottom="0.75" header="0.3" footer="0.3"/>
  <pageSetup orientation="portrait" horizontalDpi="0" verticalDpi="0"/>
  <ignoredErrors>
    <ignoredError sqref="B11:B12 B9 B7 B4:B5" numberStoredAsText="1"/>
  </ignoredErrors>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8E8FB259-F16E-964B-BD54-026DE674AF42}">
          <x14:formula1>
            <xm:f>Lists!$AE$3:$AE$5</xm:f>
          </x14:formula1>
          <xm:sqref>C4:C13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FCB28-72FB-904C-B4B2-C1FAADB51395}">
  <sheetPr>
    <tabColor theme="9" tint="-0.499984740745262"/>
  </sheetPr>
  <dimension ref="A1:I46"/>
  <sheetViews>
    <sheetView workbookViewId="0">
      <selection sqref="A1:E1"/>
    </sheetView>
  </sheetViews>
  <sheetFormatPr baseColWidth="10" defaultRowHeight="15" x14ac:dyDescent="0.2"/>
  <cols>
    <col min="1" max="1" width="6.33203125" style="157" customWidth="1"/>
    <col min="2" max="2" width="9" style="145" bestFit="1" customWidth="1"/>
    <col min="3" max="3" width="40.5" style="119" customWidth="1"/>
    <col min="4" max="5" width="69.5" style="119" customWidth="1"/>
    <col min="6" max="27" width="19.6640625" style="119" customWidth="1"/>
    <col min="28" max="16384" width="10.83203125" style="119"/>
  </cols>
  <sheetData>
    <row r="1" spans="1:8" ht="17" x14ac:dyDescent="0.25">
      <c r="A1" s="472" t="s">
        <v>2236</v>
      </c>
      <c r="B1" s="472"/>
      <c r="C1" s="472"/>
      <c r="D1" s="472"/>
      <c r="E1" s="472"/>
    </row>
    <row r="2" spans="1:8" ht="15" customHeight="1" x14ac:dyDescent="0.2">
      <c r="A2" s="149" t="s">
        <v>232</v>
      </c>
      <c r="B2" s="491" t="s">
        <v>233</v>
      </c>
      <c r="C2" s="492"/>
      <c r="D2" s="479" t="s">
        <v>1071</v>
      </c>
      <c r="E2" s="480"/>
    </row>
    <row r="3" spans="1:8" ht="14" customHeight="1" x14ac:dyDescent="0.2">
      <c r="A3" s="150">
        <v>3.3</v>
      </c>
      <c r="B3" s="493" t="s">
        <v>234</v>
      </c>
      <c r="C3" s="494"/>
      <c r="D3" s="481" t="s">
        <v>49</v>
      </c>
      <c r="E3" s="482"/>
      <c r="F3" s="121"/>
    </row>
    <row r="4" spans="1:8" ht="130" customHeight="1" x14ac:dyDescent="0.2">
      <c r="A4" s="151">
        <v>3.5</v>
      </c>
      <c r="B4" s="473" t="s">
        <v>484</v>
      </c>
      <c r="C4" s="474"/>
      <c r="D4" s="475" t="s">
        <v>1077</v>
      </c>
      <c r="E4" s="476"/>
      <c r="F4" s="121"/>
    </row>
    <row r="5" spans="1:8" ht="13" customHeight="1" x14ac:dyDescent="0.2">
      <c r="A5" s="152"/>
      <c r="B5" s="153"/>
      <c r="C5" s="153"/>
      <c r="D5" s="154"/>
      <c r="E5" s="154"/>
      <c r="F5" s="121"/>
    </row>
    <row r="6" spans="1:8" ht="97" customHeight="1" x14ac:dyDescent="0.2">
      <c r="A6" s="267" t="s">
        <v>232</v>
      </c>
      <c r="B6" s="497" t="s">
        <v>1164</v>
      </c>
      <c r="C6" s="498"/>
      <c r="D6" s="485" t="s">
        <v>985</v>
      </c>
      <c r="E6" s="486"/>
      <c r="F6" s="121"/>
    </row>
    <row r="7" spans="1:8" ht="80" customHeight="1" x14ac:dyDescent="0.2">
      <c r="A7" s="267" t="s">
        <v>231</v>
      </c>
      <c r="B7" s="495" t="s">
        <v>1165</v>
      </c>
      <c r="C7" s="496"/>
      <c r="D7" s="483" t="s">
        <v>984</v>
      </c>
      <c r="E7" s="484"/>
      <c r="F7" s="121"/>
    </row>
    <row r="8" spans="1:8" ht="96" customHeight="1" x14ac:dyDescent="0.2">
      <c r="A8" s="267" t="s">
        <v>231</v>
      </c>
      <c r="B8" s="499" t="s">
        <v>236</v>
      </c>
      <c r="C8" s="500"/>
      <c r="D8" s="487" t="s">
        <v>983</v>
      </c>
      <c r="E8" s="488"/>
      <c r="F8" s="121"/>
    </row>
    <row r="9" spans="1:8" ht="80" customHeight="1" x14ac:dyDescent="0.2">
      <c r="A9" s="267" t="s">
        <v>231</v>
      </c>
      <c r="B9" s="477" t="s">
        <v>235</v>
      </c>
      <c r="C9" s="478"/>
      <c r="D9" s="489" t="s">
        <v>982</v>
      </c>
      <c r="E9" s="490"/>
      <c r="F9" s="121"/>
    </row>
    <row r="10" spans="1:8" ht="14" customHeight="1" x14ac:dyDescent="0.2">
      <c r="A10" s="266"/>
      <c r="B10" s="154"/>
      <c r="C10" s="121"/>
      <c r="D10" s="121"/>
      <c r="E10" s="121"/>
      <c r="F10" s="121"/>
    </row>
    <row r="11" spans="1:8" ht="16" x14ac:dyDescent="0.2">
      <c r="A11" s="118" t="s">
        <v>229</v>
      </c>
      <c r="B11" s="158" t="s">
        <v>40</v>
      </c>
      <c r="C11" s="159" t="s">
        <v>218</v>
      </c>
      <c r="D11" s="160" t="s">
        <v>172</v>
      </c>
      <c r="E11" s="161" t="s">
        <v>222</v>
      </c>
      <c r="F11" s="121"/>
    </row>
    <row r="12" spans="1:8" ht="32" x14ac:dyDescent="0.2">
      <c r="B12" s="146" t="s">
        <v>614</v>
      </c>
      <c r="C12" s="141" t="str">
        <f>IF(FutureTrends[[#This Row],['#]]="","",_xlfn.XLOOKUP(FutureTrends[[#This Row],['#]],Trends['#],Trends[Trend Name]))</f>
        <v>Climate Adaptation Requirements</v>
      </c>
      <c r="D12" s="124" t="str">
        <f>IF(FutureTrends[[#This Row],['#]]="","",_xlfn.XLOOKUP(FutureTrends[[#This Row],['#]],Trends['#],Trends[Description]))</f>
        <v>Tropical environmental stresses intensify, demanding enhanced vehicle durability and performance engineering.</v>
      </c>
      <c r="E12" s="162" t="str">
        <f>IF(FutureTrends[[#This Row],['#]]="","",_xlfn.XLOOKUP(FutureTrends[[#This Row],['#]],Trends['#],Trends[Trend Type]))</f>
        <v>Pre-Determined</v>
      </c>
      <c r="F12" s="121"/>
      <c r="G12" s="172"/>
      <c r="H12" s="222"/>
    </row>
    <row r="13" spans="1:8" ht="16" x14ac:dyDescent="0.2">
      <c r="B13" s="146" t="s">
        <v>615</v>
      </c>
      <c r="C13" s="141" t="str">
        <f>IF(FutureTrends[[#This Row],['#]]="","",_xlfn.XLOOKUP(FutureTrends[[#This Row],['#]],Trends['#],Trends[Trend Name]))</f>
        <v>Manufacturing Workforce Constraints</v>
      </c>
      <c r="D13" s="124" t="str">
        <f>IF(FutureTrends[[#This Row],['#]]="","",_xlfn.XLOOKUP(FutureTrends[[#This Row],['#]],Trends['#],Trends[Description]))</f>
        <v>Aging workforce and skills gaps limit production capacity and drive automation investments.</v>
      </c>
      <c r="E13" s="141" t="str">
        <f>IF(FutureTrends[[#This Row],['#]]="","",_xlfn.XLOOKUP(FutureTrends[[#This Row],['#]],Trends['#],Trends[Trend Type]))</f>
        <v>Pre-Determined</v>
      </c>
      <c r="F13" s="121"/>
      <c r="G13" s="172"/>
      <c r="H13" s="222"/>
    </row>
    <row r="14" spans="1:8" ht="32" x14ac:dyDescent="0.2">
      <c r="B14" s="146" t="s">
        <v>616</v>
      </c>
      <c r="C14" s="141" t="str">
        <f>IF(FutureTrends[[#This Row],['#]]="","",_xlfn.XLOOKUP(FutureTrends[[#This Row],['#]],Trends['#],Trends[Trend Name]))</f>
        <v>Western Governance Standards Enforcement</v>
      </c>
      <c r="D14" s="124" t="str">
        <f>IF(FutureTrends[[#This Row],['#]]="","",_xlfn.XLOOKUP(FutureTrends[[#This Row],['#]],Trends['#],Trends[Description]))</f>
        <v>Geopolitical alignment drives anti-corruption enforcement and cyber threats intensify against democratic nations.</v>
      </c>
      <c r="E14" s="141" t="str">
        <f>IF(FutureTrends[[#This Row],['#]]="","",_xlfn.XLOOKUP(FutureTrends[[#This Row],['#]],Trends['#],Trends[Trend Type]))</f>
        <v>Pre-Determined</v>
      </c>
      <c r="F14" s="121"/>
      <c r="G14" s="172"/>
      <c r="H14" s="222"/>
    </row>
    <row r="15" spans="1:8" ht="32" x14ac:dyDescent="0.2">
      <c r="B15" s="146" t="s">
        <v>617</v>
      </c>
      <c r="C15" s="141" t="str">
        <f>IF(FutureTrends[[#This Row],['#]]="","",_xlfn.XLOOKUP(FutureTrends[[#This Row],['#]],Trends['#],Trends[Trend Name]))</f>
        <v>Relationship-Based Market Entry</v>
      </c>
      <c r="D15" s="124" t="str">
        <f>IF(FutureTrends[[#This Row],['#]]="","",_xlfn.XLOOKUP(FutureTrends[[#This Row],['#]],Trends['#],Trends[Description]))</f>
        <v>Cultural norms require long-term trust-building and patient engagement in Southeast Asian markets.</v>
      </c>
      <c r="E15" s="141" t="str">
        <f>IF(FutureTrends[[#This Row],['#]]="","",_xlfn.XLOOKUP(FutureTrends[[#This Row],['#]],Trends['#],Trends[Trend Type]))</f>
        <v>Pre-Determined</v>
      </c>
      <c r="F15" s="121"/>
      <c r="G15" s="172"/>
      <c r="H15" s="222"/>
    </row>
    <row r="16" spans="1:8" ht="16" x14ac:dyDescent="0.2">
      <c r="B16" s="146"/>
      <c r="C16" s="141" t="str">
        <f>IF(FutureTrends[[#This Row],['#]]="","",_xlfn.XLOOKUP(FutureTrends[[#This Row],['#]],Trends['#],Trends[Trend Name]))</f>
        <v/>
      </c>
      <c r="D16" s="124" t="str">
        <f>IF(FutureTrends[[#This Row],['#]]="","",_xlfn.XLOOKUP(FutureTrends[[#This Row],['#]],Trends['#],Trends[Description]))</f>
        <v/>
      </c>
      <c r="E16" s="141" t="str">
        <f>IF(FutureTrends[[#This Row],['#]]="","",_xlfn.XLOOKUP(FutureTrends[[#This Row],['#]],Trends['#],Trends[Trend Type]))</f>
        <v/>
      </c>
      <c r="F16" s="121"/>
    </row>
    <row r="17" spans="1:6" ht="18" customHeight="1" x14ac:dyDescent="0.2">
      <c r="B17" s="146"/>
      <c r="C17" s="141" t="str">
        <f>IF(FutureTrends[[#This Row],['#]]="","",_xlfn.XLOOKUP(FutureTrends[[#This Row],['#]],Trends['#],Trends[Trend Name]))</f>
        <v/>
      </c>
      <c r="D17" s="124" t="str">
        <f>IF(FutureTrends[[#This Row],['#]]="","",_xlfn.XLOOKUP(FutureTrends[[#This Row],['#]],Trends['#],Trends[Description]))</f>
        <v/>
      </c>
      <c r="E17" s="141" t="str">
        <f>IF(FutureTrends[[#This Row],['#]]="","",_xlfn.XLOOKUP(FutureTrends[[#This Row],['#]],Trends['#],Trends[Trend Type]))</f>
        <v/>
      </c>
      <c r="F17" s="121"/>
    </row>
    <row r="18" spans="1:6" ht="16" x14ac:dyDescent="0.2">
      <c r="B18" s="148"/>
      <c r="C18" s="141" t="str">
        <f>IF(FutureTrends[[#This Row],['#]]="","",_xlfn.XLOOKUP(FutureTrends[[#This Row],['#]],Trends['#],Trends[Trend Name]))</f>
        <v/>
      </c>
      <c r="D18" s="124" t="str">
        <f>IF(FutureTrends[[#This Row],['#]]="","",_xlfn.XLOOKUP(FutureTrends[[#This Row],['#]],Trends['#],Trends[Description]))</f>
        <v/>
      </c>
      <c r="E18" s="163" t="str">
        <f>IF(FutureTrends[[#This Row],['#]]="","",_xlfn.XLOOKUP(FutureTrends[[#This Row],['#]],Trends['#],Trends[Trend Type]))</f>
        <v/>
      </c>
    </row>
    <row r="19" spans="1:6" ht="16" customHeight="1" x14ac:dyDescent="0.2">
      <c r="B19" s="154"/>
      <c r="C19" s="121"/>
      <c r="D19" s="121"/>
      <c r="E19" s="121"/>
    </row>
    <row r="20" spans="1:6" ht="16" customHeight="1" x14ac:dyDescent="0.2">
      <c r="A20" s="118" t="s">
        <v>229</v>
      </c>
      <c r="B20" s="164" t="s">
        <v>40</v>
      </c>
      <c r="C20" s="159" t="s">
        <v>237</v>
      </c>
      <c r="D20" s="160" t="s">
        <v>486</v>
      </c>
      <c r="E20" s="175" t="s">
        <v>638</v>
      </c>
    </row>
    <row r="21" spans="1:6" ht="32" x14ac:dyDescent="0.2">
      <c r="B21" s="147">
        <v>7</v>
      </c>
      <c r="C21" s="147" t="str">
        <f>IF(FutureDrivers[[#This Row],['#]]="","",_xlfn.XLOOKUP(FutureDrivers[[#This Row],['#]],Drivers[Driv '#],Drivers[Driver Short Name]))</f>
        <v>Demographic Shifts and Education Gaps</v>
      </c>
      <c r="D21" s="147" t="str">
        <f>IF(FutureDrivers[[#This Row],['#]]="","",_xlfn.XLOOKUP(FutureDrivers[[#This Row],['#]],Drivers[Driv '#],Drivers[Impact on SE]))</f>
        <v>Forces global manufacturers to compete for shrinking talent pool; accelerates offshoring and automation adoption; increases operational costs.</v>
      </c>
      <c r="E21" s="147" t="str">
        <f>IF(FutureDrivers[[#This Row],['#]]="","",_xlfn.XLOOKUP(FutureDrivers[[#This Row],['#]],Drivers[Driv '#],Drivers[Impact on OA and Org]))</f>
        <v>Drives recruitment challenges; necessitates enhanced training programs; may require international partnerships for production capacity expansion.</v>
      </c>
    </row>
    <row r="22" spans="1:6" ht="32" x14ac:dyDescent="0.2">
      <c r="B22" s="147">
        <v>8</v>
      </c>
      <c r="C22" s="147" t="str">
        <f>IF(FutureDrivers[[#This Row],['#]]="","",_xlfn.XLOOKUP(FutureDrivers[[#This Row],['#]],Drivers[Driv '#],Drivers[Driver Short Name]))</f>
        <v>Relationship-Based Commerce and Trust</v>
      </c>
      <c r="D22" s="147" t="str">
        <f>IF(FutureDrivers[[#This Row],['#]]="","",_xlfn.XLOOKUP(FutureDrivers[[#This Row],['#]],Drivers[Driv '#],Drivers[Impact on SE]))</f>
        <v>Maintains entry barriers but not prohibitive; established players have advantages but newcomers can build relationships over time.</v>
      </c>
      <c r="E22" s="147" t="str">
        <f>IF(FutureDrivers[[#This Row],['#]]="","",_xlfn.XLOOKUP(FutureDrivers[[#This Row],['#]],Drivers[Driv '#],Drivers[Impact on OA and Org]))</f>
        <v>Requires cultural training and sustained engagement investment; manageable cost of market entry; not differentiating factor long-term.</v>
      </c>
    </row>
    <row r="23" spans="1:6" ht="32" x14ac:dyDescent="0.2">
      <c r="B23" s="147">
        <v>13</v>
      </c>
      <c r="C23" s="147" t="str">
        <f>IF(FutureDrivers[[#This Row],['#]]="","",_xlfn.XLOOKUP(FutureDrivers[[#This Row],['#]],Drivers[Driv '#],Drivers[Driver Short Name]))</f>
        <v>Global Anti-Corruption Enforcement Intensification</v>
      </c>
      <c r="D23" s="147" t="str">
        <f>IF(FutureDrivers[[#This Row],['#]]="","",_xlfn.XLOOKUP(FutureDrivers[[#This Row],['#]],Drivers[Driv '#],Drivers[Impact on SE]))</f>
        <v>Raises global business conduct standards; increases prosecution risks; forces companies to implement more rigorous compliance frameworks internationally.</v>
      </c>
      <c r="E23" s="147" t="str">
        <f>IF(FutureDrivers[[#This Row],['#]]="","",_xlfn.XLOOKUP(FutureDrivers[[#This Row],['#]],Drivers[Driv '#],Drivers[Impact on OA and Org]))</f>
        <v>Increases operational costs; extends contract timelines; requires enhanced due diligence; creates competitive disadvantages in markets tolerating corruption.</v>
      </c>
    </row>
    <row r="24" spans="1:6" ht="32" x14ac:dyDescent="0.2">
      <c r="B24" s="147">
        <v>15</v>
      </c>
      <c r="C24" s="147" t="str">
        <f>IF(FutureDrivers[[#This Row],['#]]="","",_xlfn.XLOOKUP(FutureDrivers[[#This Row],['#]],Drivers[Driv '#],Drivers[Driver Short Name]))</f>
        <v>Geopolitical Alignment and Human Rights</v>
      </c>
      <c r="D24" s="147" t="str">
        <f>IF(FutureDrivers[[#This Row],['#]]="","",_xlfn.XLOOKUP(FutureDrivers[[#This Row],['#]],Drivers[Driv '#],Drivers[Impact on SE]))</f>
        <v>Reinforces security partnerships with aligned nations; limits defense trade with nations having poor human rights records or neutral stances.</v>
      </c>
      <c r="E24" s="147" t="str">
        <f>IF(FutureDrivers[[#This Row],['#]]="","",_xlfn.XLOOKUP(FutureDrivers[[#This Row],['#]],Drivers[Driv '#],Drivers[Impact on OA and Org]))</f>
        <v>Creates predictability for allied nation sales; increases uncertainty for non-aligned markets; may exclude certain Southeast Asian countries.</v>
      </c>
    </row>
    <row r="25" spans="1:6" ht="32" x14ac:dyDescent="0.2">
      <c r="B25" s="147">
        <v>16</v>
      </c>
      <c r="C25" s="147" t="str">
        <f>IF(FutureDrivers[[#This Row],['#]]="","",_xlfn.XLOOKUP(FutureDrivers[[#This Row],['#]],Drivers[Driv '#],Drivers[Driver Short Name]))</f>
        <v>Climate Change and Extreme Weather</v>
      </c>
      <c r="D25" s="147" t="str">
        <f>IF(FutureDrivers[[#This Row],['#]]="","",_xlfn.XLOOKUP(FutureDrivers[[#This Row],['#]],Drivers[Driv '#],Drivers[Impact on SE]))</f>
        <v>Elevates equipment durability requirements globally; increases maintenance burdens; accelerates replacement cycles for equipment in harsh environments.</v>
      </c>
      <c r="E25" s="147" t="str">
        <f>IF(FutureDrivers[[#This Row],['#]]="","",_xlfn.XLOOKUP(FutureDrivers[[#This Row],['#]],Drivers[Driv '#],Drivers[Impact on OA and Org]))</f>
        <v>Raises performance standards for tropical markets; creates differentiation opportunities for environmentally-hardened systems; increases development costs.</v>
      </c>
    </row>
    <row r="26" spans="1:6" ht="32" x14ac:dyDescent="0.2">
      <c r="B26" s="147">
        <v>21</v>
      </c>
      <c r="C26" s="147" t="str">
        <f>IF(FutureDrivers[[#This Row],['#]]="","",_xlfn.XLOOKUP(FutureDrivers[[#This Row],['#]],Drivers[Driv '#],Drivers[Driver Short Name]))</f>
        <v>Nation-State Cyber Espionage Campaigns</v>
      </c>
      <c r="D26" s="147" t="str">
        <f>IF(FutureDrivers[[#This Row],['#]]="","",_xlfn.XLOOKUP(FutureDrivers[[#This Row],['#]],Drivers[Driv '#],Drivers[Impact on SE]))</f>
        <v>Accelerates cybersecurity requirements in defense procurement; increases costs industry-wide; creates trust barriers in international technology sharing.</v>
      </c>
      <c r="E26" s="147" t="str">
        <f>IF(FutureDrivers[[#This Row],['#]]="","",_xlfn.XLOOKUP(FutureDrivers[[#This Row],['#]],Drivers[Driv '#],Drivers[Impact on OA and Org]))</f>
        <v>Forces manufacturers to implement sophisticated cybersecurity frameworks; increases IT costs; affects willingness to share sensitive information with partners.</v>
      </c>
    </row>
    <row r="27" spans="1:6" ht="16" x14ac:dyDescent="0.2">
      <c r="B27" s="147"/>
      <c r="C27" s="147" t="str">
        <f>IF(FutureDrivers[[#This Row],['#]]="","",_xlfn.XLOOKUP(FutureDrivers[[#This Row],['#]],Drivers[Driv '#],Drivers[Driver Short Name]))</f>
        <v/>
      </c>
      <c r="D27" s="147" t="str">
        <f>IF(FutureDrivers[[#This Row],['#]]="","",_xlfn.XLOOKUP(FutureDrivers[[#This Row],['#]],Drivers[Driv '#],Drivers[Impact on SE]))</f>
        <v/>
      </c>
      <c r="E27" s="147" t="str">
        <f>IF(FutureDrivers[[#This Row],['#]]="","",_xlfn.XLOOKUP(FutureDrivers[[#This Row],['#]],Drivers[Driv '#],Drivers[Impact on OA and Org]))</f>
        <v/>
      </c>
    </row>
    <row r="28" spans="1:6" ht="16" x14ac:dyDescent="0.2">
      <c r="B28" s="147"/>
      <c r="C28" s="147" t="str">
        <f>IF(FutureDrivers[[#This Row],['#]]="","",_xlfn.XLOOKUP(FutureDrivers[[#This Row],['#]],Drivers[Driv '#],Drivers[Driver Short Name]))</f>
        <v/>
      </c>
      <c r="D28" s="147" t="str">
        <f>IF(FutureDrivers[[#This Row],['#]]="","",_xlfn.XLOOKUP(FutureDrivers[[#This Row],['#]],Drivers[Driv '#],Drivers[Impact on SE]))</f>
        <v/>
      </c>
      <c r="E28" s="147" t="str">
        <f>IF(FutureDrivers[[#This Row],['#]]="","",_xlfn.XLOOKUP(FutureDrivers[[#This Row],['#]],Drivers[Driv '#],Drivers[Impact on OA and Org]))</f>
        <v/>
      </c>
    </row>
    <row r="29" spans="1:6" ht="16" x14ac:dyDescent="0.2">
      <c r="B29" s="147"/>
      <c r="C29" s="147" t="str">
        <f>IF(FutureDrivers[[#This Row],['#]]="","",_xlfn.XLOOKUP(FutureDrivers[[#This Row],['#]],Drivers[Driv '#],Drivers[Driver Short Name]))</f>
        <v/>
      </c>
      <c r="D29" s="147" t="str">
        <f>IF(FutureDrivers[[#This Row],['#]]="","",_xlfn.XLOOKUP(FutureDrivers[[#This Row],['#]],Drivers[Driv '#],Drivers[Impact on SE]))</f>
        <v/>
      </c>
      <c r="E29" s="147" t="str">
        <f>IF(FutureDrivers[[#This Row],['#]]="","",_xlfn.XLOOKUP(FutureDrivers[[#This Row],['#]],Drivers[Driv '#],Drivers[Impact on OA and Org]))</f>
        <v/>
      </c>
    </row>
    <row r="30" spans="1:6" ht="16" x14ac:dyDescent="0.2">
      <c r="B30" s="147"/>
      <c r="C30" s="147" t="str">
        <f>IF(FutureDrivers[[#This Row],['#]]="","",_xlfn.XLOOKUP(FutureDrivers[[#This Row],['#]],Drivers[Driv '#],Drivers[Driver Short Name]))</f>
        <v/>
      </c>
      <c r="D30" s="147" t="str">
        <f>IF(FutureDrivers[[#This Row],['#]]="","",_xlfn.XLOOKUP(FutureDrivers[[#This Row],['#]],Drivers[Driv '#],Drivers[Impact on SE]))</f>
        <v/>
      </c>
      <c r="E30" s="147" t="str">
        <f>IF(FutureDrivers[[#This Row],['#]]="","",_xlfn.XLOOKUP(FutureDrivers[[#This Row],['#]],Drivers[Driv '#],Drivers[Impact on OA and Org]))</f>
        <v/>
      </c>
      <c r="F30" s="121"/>
    </row>
    <row r="31" spans="1:6" ht="16" customHeight="1" x14ac:dyDescent="0.2">
      <c r="B31" s="154"/>
      <c r="C31" s="121"/>
      <c r="D31" s="121"/>
      <c r="E31" s="121"/>
      <c r="F31" s="121"/>
    </row>
    <row r="32" spans="1:6" ht="16" x14ac:dyDescent="0.2">
      <c r="A32" s="118" t="s">
        <v>230</v>
      </c>
      <c r="B32" s="164" t="s">
        <v>51</v>
      </c>
      <c r="C32" s="165" t="s">
        <v>52</v>
      </c>
      <c r="D32" s="166" t="s">
        <v>172</v>
      </c>
      <c r="E32" s="120" t="s">
        <v>238</v>
      </c>
      <c r="F32" s="121"/>
    </row>
    <row r="33" spans="1:9" ht="48" x14ac:dyDescent="0.2">
      <c r="B33" s="172" t="s">
        <v>922</v>
      </c>
      <c r="C33" s="135" t="s">
        <v>923</v>
      </c>
      <c r="D33" s="135" t="s">
        <v>924</v>
      </c>
      <c r="E33" s="135" t="s">
        <v>925</v>
      </c>
    </row>
    <row r="34" spans="1:9" ht="38" customHeight="1" x14ac:dyDescent="0.2">
      <c r="B34" s="172">
        <v>2029</v>
      </c>
      <c r="C34" s="135" t="s">
        <v>926</v>
      </c>
      <c r="D34" s="135" t="s">
        <v>927</v>
      </c>
      <c r="E34" s="135" t="s">
        <v>928</v>
      </c>
    </row>
    <row r="35" spans="1:9" ht="48" x14ac:dyDescent="0.2">
      <c r="B35" s="172" t="s">
        <v>929</v>
      </c>
      <c r="C35" s="135" t="s">
        <v>930</v>
      </c>
      <c r="D35" s="224" t="s">
        <v>931</v>
      </c>
      <c r="E35" s="135" t="s">
        <v>932</v>
      </c>
    </row>
    <row r="36" spans="1:9" ht="48" x14ac:dyDescent="0.2">
      <c r="B36" s="172">
        <v>2032</v>
      </c>
      <c r="C36" s="135" t="s">
        <v>933</v>
      </c>
      <c r="D36" s="135" t="s">
        <v>934</v>
      </c>
      <c r="E36" s="135" t="s">
        <v>935</v>
      </c>
    </row>
    <row r="37" spans="1:9" ht="48" x14ac:dyDescent="0.2">
      <c r="B37" s="172" t="s">
        <v>936</v>
      </c>
      <c r="C37" s="135" t="s">
        <v>937</v>
      </c>
      <c r="D37" s="135" t="s">
        <v>938</v>
      </c>
      <c r="E37" s="135" t="s">
        <v>939</v>
      </c>
    </row>
    <row r="38" spans="1:9" ht="48" x14ac:dyDescent="0.2">
      <c r="B38" s="172">
        <v>2035</v>
      </c>
      <c r="C38" s="135" t="s">
        <v>940</v>
      </c>
      <c r="D38" s="135" t="s">
        <v>941</v>
      </c>
      <c r="E38" s="135" t="s">
        <v>942</v>
      </c>
    </row>
    <row r="39" spans="1:9" x14ac:dyDescent="0.2">
      <c r="B39" s="147"/>
      <c r="C39" s="135"/>
      <c r="D39" s="135"/>
      <c r="E39" s="135"/>
    </row>
    <row r="40" spans="1:9" x14ac:dyDescent="0.2">
      <c r="B40" s="154"/>
      <c r="C40" s="121"/>
      <c r="D40" s="121"/>
      <c r="E40" s="121"/>
    </row>
    <row r="41" spans="1:9" ht="16" x14ac:dyDescent="0.2">
      <c r="A41" s="118" t="s">
        <v>231</v>
      </c>
      <c r="B41" s="167" t="s">
        <v>40</v>
      </c>
      <c r="C41" s="168" t="s">
        <v>246</v>
      </c>
      <c r="D41" s="166" t="s">
        <v>172</v>
      </c>
      <c r="E41" s="169" t="s">
        <v>53</v>
      </c>
    </row>
    <row r="42" spans="1:9" ht="32" x14ac:dyDescent="0.2">
      <c r="B42" s="170">
        <v>1</v>
      </c>
      <c r="C42" s="135" t="s">
        <v>1010</v>
      </c>
      <c r="D42" s="135" t="s">
        <v>1011</v>
      </c>
      <c r="E42" s="135" t="s">
        <v>1012</v>
      </c>
    </row>
    <row r="43" spans="1:9" ht="16" customHeight="1" x14ac:dyDescent="0.2">
      <c r="B43" s="170">
        <v>2</v>
      </c>
      <c r="C43" s="135" t="s">
        <v>1013</v>
      </c>
      <c r="D43" s="135" t="s">
        <v>1014</v>
      </c>
      <c r="E43" s="135" t="s">
        <v>1015</v>
      </c>
    </row>
    <row r="44" spans="1:9" ht="32" x14ac:dyDescent="0.2">
      <c r="B44" s="170">
        <v>3</v>
      </c>
      <c r="C44" s="135" t="s">
        <v>1016</v>
      </c>
      <c r="D44" s="135" t="s">
        <v>1017</v>
      </c>
      <c r="E44" s="135" t="s">
        <v>1018</v>
      </c>
      <c r="I44" s="122"/>
    </row>
    <row r="45" spans="1:9" ht="48" x14ac:dyDescent="0.2">
      <c r="B45" s="170">
        <v>4</v>
      </c>
      <c r="C45" s="135" t="s">
        <v>1019</v>
      </c>
      <c r="D45" s="135" t="s">
        <v>1020</v>
      </c>
      <c r="E45" s="135" t="s">
        <v>1021</v>
      </c>
    </row>
    <row r="46" spans="1:9" ht="32" x14ac:dyDescent="0.2">
      <c r="B46" s="170">
        <v>5</v>
      </c>
      <c r="C46" s="135" t="s">
        <v>1022</v>
      </c>
      <c r="D46" s="135" t="s">
        <v>1023</v>
      </c>
      <c r="E46" s="135" t="s">
        <v>1024</v>
      </c>
    </row>
  </sheetData>
  <mergeCells count="15">
    <mergeCell ref="A1:E1"/>
    <mergeCell ref="B4:C4"/>
    <mergeCell ref="D4:E4"/>
    <mergeCell ref="B9:C9"/>
    <mergeCell ref="D2:E2"/>
    <mergeCell ref="D3:E3"/>
    <mergeCell ref="D7:E7"/>
    <mergeCell ref="D6:E6"/>
    <mergeCell ref="D8:E8"/>
    <mergeCell ref="D9:E9"/>
    <mergeCell ref="B2:C2"/>
    <mergeCell ref="B3:C3"/>
    <mergeCell ref="B7:C7"/>
    <mergeCell ref="B6:C6"/>
    <mergeCell ref="B8:C8"/>
  </mergeCells>
  <phoneticPr fontId="1" type="noConversion"/>
  <dataValidations count="1">
    <dataValidation type="list" allowBlank="1" showInputMessage="1" showErrorMessage="1" sqref="D5:E5" xr:uid="{41D7C55E-024B-334D-A7C2-1E4C9014D58C}">
      <formula1>#REF!</formula1>
    </dataValidation>
  </dataValidations>
  <pageMargins left="0.7" right="0.7" top="0.75" bottom="0.75" header="0.3" footer="0.3"/>
  <pageSetup orientation="portrait" horizontalDpi="0" verticalDpi="0"/>
  <ignoredErrors>
    <ignoredError sqref="C12" calculatedColumn="1"/>
  </ignoredErrors>
  <tableParts count="4">
    <tablePart r:id="rId1"/>
    <tablePart r:id="rId2"/>
    <tablePart r:id="rId3"/>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0FE6DC18-E99E-A640-9DEB-73367FA0876D}">
          <x14:formula1>
            <xm:f>Lists!$AR$3:$AR$5</xm:f>
          </x14:formula1>
          <xm:sqref>D3:E3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FBEAC-6EA4-E74B-8172-30E3230552E6}">
  <sheetPr>
    <tabColor theme="9" tint="-0.499984740745262"/>
  </sheetPr>
  <dimension ref="A1:H45"/>
  <sheetViews>
    <sheetView workbookViewId="0">
      <selection sqref="A1:E1"/>
    </sheetView>
  </sheetViews>
  <sheetFormatPr baseColWidth="10" defaultRowHeight="15" x14ac:dyDescent="0.2"/>
  <cols>
    <col min="1" max="1" width="6.33203125" style="157" customWidth="1"/>
    <col min="2" max="2" width="9" style="145" bestFit="1" customWidth="1"/>
    <col min="3" max="3" width="46.1640625" style="119" customWidth="1"/>
    <col min="4" max="5" width="69.5" style="119" customWidth="1"/>
    <col min="6" max="26" width="19.6640625" style="119" customWidth="1"/>
    <col min="27" max="16384" width="10.83203125" style="119"/>
  </cols>
  <sheetData>
    <row r="1" spans="1:6" ht="17" x14ac:dyDescent="0.25">
      <c r="A1" s="472" t="s">
        <v>2235</v>
      </c>
      <c r="B1" s="472"/>
      <c r="C1" s="472"/>
      <c r="D1" s="472"/>
      <c r="E1" s="472"/>
    </row>
    <row r="2" spans="1:6" ht="15" customHeight="1" x14ac:dyDescent="0.2">
      <c r="A2" s="155" t="s">
        <v>232</v>
      </c>
      <c r="B2" s="491" t="s">
        <v>233</v>
      </c>
      <c r="C2" s="492"/>
      <c r="D2" s="479" t="s">
        <v>1072</v>
      </c>
      <c r="E2" s="480"/>
    </row>
    <row r="3" spans="1:6" ht="14" customHeight="1" x14ac:dyDescent="0.2">
      <c r="A3" s="156">
        <v>3.3</v>
      </c>
      <c r="B3" s="493" t="s">
        <v>234</v>
      </c>
      <c r="C3" s="494"/>
      <c r="D3" s="481" t="s">
        <v>239</v>
      </c>
      <c r="E3" s="482"/>
      <c r="F3" s="121"/>
    </row>
    <row r="4" spans="1:6" ht="149" customHeight="1" x14ac:dyDescent="0.2">
      <c r="A4" s="151">
        <v>3.5</v>
      </c>
      <c r="B4" s="473" t="s">
        <v>484</v>
      </c>
      <c r="C4" s="474"/>
      <c r="D4" s="475" t="s">
        <v>1159</v>
      </c>
      <c r="E4" s="476"/>
      <c r="F4" s="121"/>
    </row>
    <row r="5" spans="1:6" ht="13" customHeight="1" x14ac:dyDescent="0.2">
      <c r="A5" s="171"/>
      <c r="B5" s="153"/>
      <c r="C5" s="153"/>
      <c r="D5" s="154"/>
      <c r="E5" s="154"/>
      <c r="F5" s="121"/>
    </row>
    <row r="6" spans="1:6" ht="108" customHeight="1" x14ac:dyDescent="0.2">
      <c r="A6" s="267" t="s">
        <v>232</v>
      </c>
      <c r="B6" s="501" t="s">
        <v>1164</v>
      </c>
      <c r="C6" s="502"/>
      <c r="D6" s="489" t="s">
        <v>1160</v>
      </c>
      <c r="E6" s="490"/>
      <c r="F6" s="121"/>
    </row>
    <row r="7" spans="1:6" ht="101" customHeight="1" x14ac:dyDescent="0.2">
      <c r="A7" s="267" t="s">
        <v>231</v>
      </c>
      <c r="B7" s="503" t="s">
        <v>1165</v>
      </c>
      <c r="C7" s="504"/>
      <c r="D7" s="485" t="s">
        <v>1161</v>
      </c>
      <c r="E7" s="486"/>
      <c r="F7" s="121"/>
    </row>
    <row r="8" spans="1:6" ht="99" customHeight="1" x14ac:dyDescent="0.2">
      <c r="A8" s="267" t="s">
        <v>231</v>
      </c>
      <c r="B8" s="499" t="s">
        <v>236</v>
      </c>
      <c r="C8" s="500"/>
      <c r="D8" s="483" t="s">
        <v>1162</v>
      </c>
      <c r="E8" s="484"/>
      <c r="F8" s="121"/>
    </row>
    <row r="9" spans="1:6" ht="99" customHeight="1" x14ac:dyDescent="0.2">
      <c r="A9" s="267" t="s">
        <v>231</v>
      </c>
      <c r="B9" s="477" t="s">
        <v>235</v>
      </c>
      <c r="C9" s="478"/>
      <c r="D9" s="489" t="s">
        <v>1163</v>
      </c>
      <c r="E9" s="490"/>
      <c r="F9" s="121"/>
    </row>
    <row r="10" spans="1:6" x14ac:dyDescent="0.2">
      <c r="A10" s="172"/>
      <c r="B10" s="154"/>
      <c r="C10" s="121"/>
      <c r="D10" s="121"/>
      <c r="E10" s="121"/>
      <c r="F10" s="121"/>
    </row>
    <row r="11" spans="1:6" ht="16" x14ac:dyDescent="0.2">
      <c r="A11" s="173" t="s">
        <v>229</v>
      </c>
      <c r="B11" s="158" t="s">
        <v>40</v>
      </c>
      <c r="C11" s="159" t="s">
        <v>218</v>
      </c>
      <c r="D11" s="160" t="s">
        <v>172</v>
      </c>
      <c r="E11" s="161" t="s">
        <v>222</v>
      </c>
      <c r="F11" s="121"/>
    </row>
    <row r="12" spans="1:6" ht="32" x14ac:dyDescent="0.2">
      <c r="A12" s="172"/>
      <c r="B12" s="146" t="s">
        <v>614</v>
      </c>
      <c r="C12" s="141" t="str">
        <f>IF(FutureTrends106[[#This Row],['#]]="","",_xlfn.XLOOKUP(FutureTrends106[[#This Row],['#]],Trends['#],Trends[Trend Name]))</f>
        <v>Climate Adaptation Requirements</v>
      </c>
      <c r="D12" s="124" t="str">
        <f>IF(FutureTrends106[[#This Row],['#]]="","",_xlfn.XLOOKUP(FutureTrends106[[#This Row],['#]],Trends['#],Trends[Description]))</f>
        <v>Tropical environmental stresses intensify, demanding enhanced vehicle durability and performance engineering.</v>
      </c>
      <c r="E12" s="162" t="str">
        <f>IF(FutureTrends106[[#This Row],['#]]="","",_xlfn.XLOOKUP(FutureTrends106[[#This Row],['#]],Trends['#],Trends[Trend Type]))</f>
        <v>Pre-Determined</v>
      </c>
      <c r="F12" s="121"/>
    </row>
    <row r="13" spans="1:6" ht="16" x14ac:dyDescent="0.2">
      <c r="A13" s="172"/>
      <c r="B13" s="146" t="s">
        <v>615</v>
      </c>
      <c r="C13" s="141" t="str">
        <f>IF(FutureTrends106[[#This Row],['#]]="","",_xlfn.XLOOKUP(FutureTrends106[[#This Row],['#]],Trends['#],Trends[Trend Name]))</f>
        <v>Manufacturing Workforce Constraints</v>
      </c>
      <c r="D13" s="124" t="str">
        <f>IF(FutureTrends106[[#This Row],['#]]="","",_xlfn.XLOOKUP(FutureTrends106[[#This Row],['#]],Trends['#],Trends[Description]))</f>
        <v>Aging workforce and skills gaps limit production capacity and drive automation investments.</v>
      </c>
      <c r="E13" s="141" t="str">
        <f>IF(FutureTrends106[[#This Row],['#]]="","",_xlfn.XLOOKUP(FutureTrends106[[#This Row],['#]],Trends['#],Trends[Trend Type]))</f>
        <v>Pre-Determined</v>
      </c>
      <c r="F13" s="121"/>
    </row>
    <row r="14" spans="1:6" ht="32" x14ac:dyDescent="0.2">
      <c r="A14" s="172"/>
      <c r="B14" s="146" t="s">
        <v>616</v>
      </c>
      <c r="C14" s="141" t="str">
        <f>IF(FutureTrends106[[#This Row],['#]]="","",_xlfn.XLOOKUP(FutureTrends106[[#This Row],['#]],Trends['#],Trends[Trend Name]))</f>
        <v>Western Governance Standards Enforcement</v>
      </c>
      <c r="D14" s="124" t="str">
        <f>IF(FutureTrends106[[#This Row],['#]]="","",_xlfn.XLOOKUP(FutureTrends106[[#This Row],['#]],Trends['#],Trends[Description]))</f>
        <v>Geopolitical alignment drives anti-corruption enforcement and cyber threats intensify against democratic nations.</v>
      </c>
      <c r="E14" s="141" t="str">
        <f>IF(FutureTrends106[[#This Row],['#]]="","",_xlfn.XLOOKUP(FutureTrends106[[#This Row],['#]],Trends['#],Trends[Trend Type]))</f>
        <v>Pre-Determined</v>
      </c>
      <c r="F14" s="121"/>
    </row>
    <row r="15" spans="1:6" ht="32" x14ac:dyDescent="0.2">
      <c r="A15" s="172"/>
      <c r="B15" s="146" t="s">
        <v>617</v>
      </c>
      <c r="C15" s="141" t="str">
        <f>IF(FutureTrends106[[#This Row],['#]]="","",_xlfn.XLOOKUP(FutureTrends106[[#This Row],['#]],Trends['#],Trends[Trend Name]))</f>
        <v>Relationship-Based Market Entry</v>
      </c>
      <c r="D15" s="124" t="str">
        <f>IF(FutureTrends106[[#This Row],['#]]="","",_xlfn.XLOOKUP(FutureTrends106[[#This Row],['#]],Trends['#],Trends[Description]))</f>
        <v>Cultural norms require long-term trust-building and patient engagement in Southeast Asian markets.</v>
      </c>
      <c r="E15" s="141" t="str">
        <f>IF(FutureTrends106[[#This Row],['#]]="","",_xlfn.XLOOKUP(FutureTrends106[[#This Row],['#]],Trends['#],Trends[Trend Type]))</f>
        <v>Pre-Determined</v>
      </c>
      <c r="F15" s="121"/>
    </row>
    <row r="16" spans="1:6" ht="32" x14ac:dyDescent="0.2">
      <c r="A16" s="172"/>
      <c r="B16" s="146" t="s">
        <v>618</v>
      </c>
      <c r="C16" s="141" t="str">
        <f>IF(FutureTrends106[[#This Row],['#]]="","",_xlfn.XLOOKUP(FutureTrends106[[#This Row],['#]],Trends['#],Trends[Trend Name]))</f>
        <v>Defense Technology Transformation</v>
      </c>
      <c r="D16" s="124" t="str">
        <f>IF(FutureTrends106[[#This Row],['#]]="","",_xlfn.XLOOKUP(FutureTrends106[[#This Row],['#]],Trends['#],Trends[Description]))</f>
        <v>AI, autonomous systems, and manufacturing automation adoption timing creates competitive differentiation uncertainty.</v>
      </c>
      <c r="E16" s="141" t="str">
        <f>IF(FutureTrends106[[#This Row],['#]]="","",_xlfn.XLOOKUP(FutureTrends106[[#This Row],['#]],Trends['#],Trends[Trend Type]))</f>
        <v>Critical Uncertain</v>
      </c>
      <c r="F16" s="121"/>
    </row>
    <row r="17" spans="1:7" ht="16" x14ac:dyDescent="0.2">
      <c r="A17" s="172"/>
      <c r="B17" s="146" t="s">
        <v>619</v>
      </c>
      <c r="C17" s="141" t="str">
        <f>IF(FutureTrends106[[#This Row],['#]]="","",_xlfn.XLOOKUP(FutureTrends106[[#This Row],['#]],Trends['#],Trends[Trend Name]))</f>
        <v>U.S. Defense Budget Constraint</v>
      </c>
      <c r="D17" s="124" t="str">
        <f>IF(FutureTrends106[[#This Row],['#]]="","",_xlfn.XLOOKUP(FutureTrends106[[#This Row],['#]],Trends['#],Trends[Description]))</f>
        <v>Fiscal pressures reduce domestic procurement and challenge alliance commitment perceptions.</v>
      </c>
      <c r="E17" s="141" t="str">
        <f>IF(FutureTrends106[[#This Row],['#]]="","",_xlfn.XLOOKUP(FutureTrends106[[#This Row],['#]],Trends['#],Trends[Trend Type]))</f>
        <v>Critical Uncertain</v>
      </c>
      <c r="F17" s="121"/>
    </row>
    <row r="18" spans="1:7" ht="15" customHeight="1" x14ac:dyDescent="0.2">
      <c r="A18" s="172"/>
      <c r="B18" s="146"/>
      <c r="C18" s="141" t="str">
        <f>IF(FutureTrends106[[#This Row],['#]]="","",_xlfn.XLOOKUP(FutureTrends106[[#This Row],['#]],Trends['#],Trends[Trend Name]))</f>
        <v/>
      </c>
      <c r="D18" s="124" t="str">
        <f>IF(FutureTrends106[[#This Row],['#]]="","",_xlfn.XLOOKUP(FutureTrends106[[#This Row],['#]],Trends['#],Trends[Description]))</f>
        <v/>
      </c>
      <c r="E18" s="163" t="str">
        <f>IF(FutureTrends106[[#This Row],['#]]="","",_xlfn.XLOOKUP(FutureTrends106[[#This Row],['#]],Trends['#],Trends[Trend Type]))</f>
        <v/>
      </c>
    </row>
    <row r="19" spans="1:7" ht="16" customHeight="1" x14ac:dyDescent="0.2">
      <c r="A19" s="172"/>
      <c r="B19" s="154"/>
      <c r="C19" s="121"/>
      <c r="D19" s="121"/>
      <c r="E19" s="121"/>
    </row>
    <row r="20" spans="1:7" ht="16" customHeight="1" x14ac:dyDescent="0.2">
      <c r="A20" s="173" t="s">
        <v>229</v>
      </c>
      <c r="B20" s="164" t="s">
        <v>40</v>
      </c>
      <c r="C20" s="174" t="s">
        <v>237</v>
      </c>
      <c r="D20" s="160" t="s">
        <v>486</v>
      </c>
      <c r="E20" s="175" t="s">
        <v>638</v>
      </c>
    </row>
    <row r="21" spans="1:7" ht="32" x14ac:dyDescent="0.2">
      <c r="A21" s="171"/>
      <c r="B21" s="147">
        <v>1</v>
      </c>
      <c r="C21" s="147" t="str">
        <f>IF(FutureDrivers107[[#This Row],['#]]="","",_xlfn.XLOOKUP(FutureDrivers107[[#This Row],['#]],Drivers[Driv '#],Drivers[Driver Short Name]))</f>
        <v>Fiscal Constraint and Deficit Reduction</v>
      </c>
      <c r="D21" s="147" t="str">
        <f>IF(FutureDrivers107[[#This Row],['#]]="","",_xlfn.XLOOKUP(FutureDrivers107[[#This Row],['#]],Drivers[Driv '#],Drivers[Impact on SE]))</f>
        <v>Could significantly reduce global confidence in U.S. defense partnerships or prove manageable; uncertainty affects allied planning and procurement timing.</v>
      </c>
      <c r="E21" s="147" t="str">
        <f>IF(FutureDrivers107[[#This Row],['#]]="","",_xlfn.XLOOKUP(FutureDrivers107[[#This Row],['#]],Drivers[Driv '#],Drivers[Impact on OA and Org]))</f>
        <v>May shrink domestic market substantially or moderately; exact impact timing uncertain; forces manufacturers to prepare multiple contingency scenarios.</v>
      </c>
    </row>
    <row r="22" spans="1:7" ht="32" x14ac:dyDescent="0.2">
      <c r="A22" s="171"/>
      <c r="B22" s="147">
        <v>7</v>
      </c>
      <c r="C22" s="147" t="str">
        <f>IF(FutureDrivers107[[#This Row],['#]]="","",_xlfn.XLOOKUP(FutureDrivers107[[#This Row],['#]],Drivers[Driv '#],Drivers[Driver Short Name]))</f>
        <v>Demographic Shifts and Education Gaps</v>
      </c>
      <c r="D22" s="147" t="str">
        <f>IF(FutureDrivers107[[#This Row],['#]]="","",_xlfn.XLOOKUP(FutureDrivers107[[#This Row],['#]],Drivers[Driv '#],Drivers[Impact on SE]))</f>
        <v>Forces global manufacturers to compete for shrinking talent pool; accelerates offshoring and automation adoption; increases operational costs.</v>
      </c>
      <c r="E22" s="147" t="str">
        <f>IF(FutureDrivers107[[#This Row],['#]]="","",_xlfn.XLOOKUP(FutureDrivers107[[#This Row],['#]],Drivers[Driv '#],Drivers[Impact on OA and Org]))</f>
        <v>Drives recruitment challenges; necessitates enhanced training programs; may require international partnerships for production capacity expansion.</v>
      </c>
    </row>
    <row r="23" spans="1:7" ht="32" x14ac:dyDescent="0.2">
      <c r="A23" s="171"/>
      <c r="B23" s="147">
        <v>8</v>
      </c>
      <c r="C23" s="147" t="str">
        <f>IF(FutureDrivers107[[#This Row],['#]]="","",_xlfn.XLOOKUP(FutureDrivers107[[#This Row],['#]],Drivers[Driv '#],Drivers[Driver Short Name]))</f>
        <v>Relationship-Based Commerce and Trust</v>
      </c>
      <c r="D23" s="147" t="str">
        <f>IF(FutureDrivers107[[#This Row],['#]]="","",_xlfn.XLOOKUP(FutureDrivers107[[#This Row],['#]],Drivers[Driv '#],Drivers[Impact on SE]))</f>
        <v>Maintains entry barriers but not prohibitive; established players have advantages but newcomers can build relationships over time.</v>
      </c>
      <c r="E23" s="147" t="str">
        <f>IF(FutureDrivers107[[#This Row],['#]]="","",_xlfn.XLOOKUP(FutureDrivers107[[#This Row],['#]],Drivers[Driv '#],Drivers[Impact on OA and Org]))</f>
        <v>Requires cultural training and sustained engagement investment; manageable cost of market entry; not differentiating factor long-term.</v>
      </c>
      <c r="G23" s="220"/>
    </row>
    <row r="24" spans="1:7" ht="32" x14ac:dyDescent="0.2">
      <c r="A24" s="171"/>
      <c r="B24" s="147">
        <v>10</v>
      </c>
      <c r="C24" s="147" t="str">
        <f>IF(FutureDrivers107[[#This Row],['#]]="","",_xlfn.XLOOKUP(FutureDrivers107[[#This Row],['#]],Drivers[Driv '#],Drivers[Driver Short Name]))</f>
        <v>Artificial Intelligence Military Applications</v>
      </c>
      <c r="D24" s="147" t="str">
        <f>IF(FutureDrivers107[[#This Row],['#]]="","",_xlfn.XLOOKUP(FutureDrivers107[[#This Row],['#]],Drivers[Driv '#],Drivers[Impact on SE]))</f>
        <v>Could rapidly reshape military doctrine and force structures or develop gradually; timing uncertainty creates strategic planning challenges globally.</v>
      </c>
      <c r="E24" s="147" t="str">
        <f>IF(FutureDrivers107[[#This Row],['#]]="","",_xlfn.XLOOKUP(FutureDrivers107[[#This Row],['#]],Drivers[Driv '#],Drivers[Impact on OA and Org]))</f>
        <v>Technology readiness timeline uncertain; market could bifurcate quickly or gradually; optimal R&amp;D investment timing unclear for manufacturers.</v>
      </c>
    </row>
    <row r="25" spans="1:7" ht="32" x14ac:dyDescent="0.2">
      <c r="A25" s="171"/>
      <c r="B25" s="147">
        <v>11</v>
      </c>
      <c r="C25" s="147" t="str">
        <f>IF(FutureDrivers107[[#This Row],['#]]="","",_xlfn.XLOOKUP(FutureDrivers107[[#This Row],['#]],Drivers[Driv '#],Drivers[Driver Short Name]))</f>
        <v>Drone and Precision Weapon Proliferation</v>
      </c>
      <c r="D25" s="147" t="str">
        <f>IF(FutureDrivers107[[#This Row],['#]]="","",_xlfn.XLOOKUP(FutureDrivers107[[#This Row],['#]],Drivers[Driv '#],Drivers[Impact on SE]))</f>
        <v>May increase urgency for vehicle modernization substantially or prove manageable with incremental upgrades; market timing uncertain.</v>
      </c>
      <c r="E25" s="147" t="str">
        <f>IF(FutureDrivers107[[#This Row],['#]]="","",_xlfn.XLOOKUP(FutureDrivers107[[#This Row],['#]],Drivers[Driv '#],Drivers[Impact on OA and Org]))</f>
        <v>Could create major competitive advantage for protection leaders or become table-stakes requirement quickly; optimal investment timing unclear.</v>
      </c>
    </row>
    <row r="26" spans="1:7" ht="32" x14ac:dyDescent="0.2">
      <c r="A26" s="171"/>
      <c r="B26" s="147">
        <v>12</v>
      </c>
      <c r="C26" s="147" t="str">
        <f>IF(FutureDrivers107[[#This Row],['#]]="","",_xlfn.XLOOKUP(FutureDrivers107[[#This Row],['#]],Drivers[Driv '#],Drivers[Driver Short Name]))</f>
        <v>Manufacturing Technology Advancement and Automation</v>
      </c>
      <c r="D26" s="147" t="str">
        <f>IF(FutureDrivers107[[#This Row],['#]]="","",_xlfn.XLOOKUP(FutureDrivers107[[#This Row],['#]],Drivers[Driv '#],Drivers[Impact on SE]))</f>
        <v>Enables smaller manufacturers to compete more effectively; reduces traditional scale advantages; accelerates production flexibility and responsiveness.</v>
      </c>
      <c r="E26" s="147" t="str">
        <f>IF(FutureDrivers107[[#This Row],['#]]="","",_xlfn.XLOOKUP(FutureDrivers107[[#This Row],['#]],Drivers[Driv '#],Drivers[Impact on OA and Org]))</f>
        <v>Supports production scalability objective; reduces labor dependency; enables cost competitiveness in Southeast Asian markets; requires substantial investment.</v>
      </c>
    </row>
    <row r="27" spans="1:7" ht="16" customHeight="1" x14ac:dyDescent="0.2">
      <c r="A27" s="171"/>
      <c r="B27" s="147">
        <v>13</v>
      </c>
      <c r="C27" s="147" t="str">
        <f>IF(FutureDrivers107[[#This Row],['#]]="","",_xlfn.XLOOKUP(FutureDrivers107[[#This Row],['#]],Drivers[Driv '#],Drivers[Driver Short Name]))</f>
        <v>Global Anti-Corruption Enforcement Intensification</v>
      </c>
      <c r="D27" s="147" t="str">
        <f>IF(FutureDrivers107[[#This Row],['#]]="","",_xlfn.XLOOKUP(FutureDrivers107[[#This Row],['#]],Drivers[Driv '#],Drivers[Impact on SE]))</f>
        <v>Raises global business conduct standards; increases prosecution risks; forces companies to implement more rigorous compliance frameworks internationally.</v>
      </c>
      <c r="E27" s="147" t="str">
        <f>IF(FutureDrivers107[[#This Row],['#]]="","",_xlfn.XLOOKUP(FutureDrivers107[[#This Row],['#]],Drivers[Driv '#],Drivers[Impact on OA and Org]))</f>
        <v>Increases operational costs; extends contract timelines; requires enhanced due diligence; creates competitive disadvantages in markets tolerating corruption.</v>
      </c>
    </row>
    <row r="28" spans="1:7" ht="16" customHeight="1" x14ac:dyDescent="0.2">
      <c r="A28" s="172"/>
      <c r="B28" s="147">
        <v>15</v>
      </c>
      <c r="C28" s="147" t="str">
        <f>IF(FutureDrivers107[[#This Row],['#]]="","",_xlfn.XLOOKUP(FutureDrivers107[[#This Row],['#]],Drivers[Driv '#],Drivers[Driver Short Name]))</f>
        <v>Geopolitical Alignment and Human Rights</v>
      </c>
      <c r="D28" s="147" t="str">
        <f>IF(FutureDrivers107[[#This Row],['#]]="","",_xlfn.XLOOKUP(FutureDrivers107[[#This Row],['#]],Drivers[Driv '#],Drivers[Impact on SE]))</f>
        <v>Reinforces security partnerships with aligned nations; limits defense trade with nations having poor human rights records or neutral stances.</v>
      </c>
      <c r="E28" s="147" t="str">
        <f>IF(FutureDrivers107[[#This Row],['#]]="","",_xlfn.XLOOKUP(FutureDrivers107[[#This Row],['#]],Drivers[Driv '#],Drivers[Impact on OA and Org]))</f>
        <v>Creates predictability for allied nation sales; increases uncertainty for non-aligned markets; may exclude certain Southeast Asian countries.</v>
      </c>
    </row>
    <row r="29" spans="1:7" ht="32" x14ac:dyDescent="0.2">
      <c r="A29" s="172"/>
      <c r="B29" s="147">
        <v>16</v>
      </c>
      <c r="C29" s="147" t="str">
        <f>IF(FutureDrivers107[[#This Row],['#]]="","",_xlfn.XLOOKUP(FutureDrivers107[[#This Row],['#]],Drivers[Driv '#],Drivers[Driver Short Name]))</f>
        <v>Climate Change and Extreme Weather</v>
      </c>
      <c r="D29" s="147" t="str">
        <f>IF(FutureDrivers107[[#This Row],['#]]="","",_xlfn.XLOOKUP(FutureDrivers107[[#This Row],['#]],Drivers[Driv '#],Drivers[Impact on SE]))</f>
        <v>Elevates equipment durability requirements globally; increases maintenance burdens; accelerates replacement cycles for equipment in harsh environments.</v>
      </c>
      <c r="E29" s="147" t="str">
        <f>IF(FutureDrivers107[[#This Row],['#]]="","",_xlfn.XLOOKUP(FutureDrivers107[[#This Row],['#]],Drivers[Driv '#],Drivers[Impact on OA and Org]))</f>
        <v>Raises performance standards for tropical markets; creates differentiation opportunities for environmentally-hardened systems; increases development costs.</v>
      </c>
      <c r="F29" s="121"/>
    </row>
    <row r="30" spans="1:7" ht="16" customHeight="1" x14ac:dyDescent="0.2">
      <c r="A30" s="172"/>
      <c r="B30" s="147">
        <v>21</v>
      </c>
      <c r="C30" s="147" t="str">
        <f>IF(FutureDrivers107[[#This Row],['#]]="","",_xlfn.XLOOKUP(FutureDrivers107[[#This Row],['#]],Drivers[Driv '#],Drivers[Driver Short Name]))</f>
        <v>Nation-State Cyber Espionage Campaigns</v>
      </c>
      <c r="D30" s="147" t="str">
        <f>IF(FutureDrivers107[[#This Row],['#]]="","",_xlfn.XLOOKUP(FutureDrivers107[[#This Row],['#]],Drivers[Driv '#],Drivers[Impact on SE]))</f>
        <v>Accelerates cybersecurity requirements in defense procurement; increases costs industry-wide; creates trust barriers in international technology sharing.</v>
      </c>
      <c r="E30" s="147" t="str">
        <f>IF(FutureDrivers107[[#This Row],['#]]="","",_xlfn.XLOOKUP(FutureDrivers107[[#This Row],['#]],Drivers[Driv '#],Drivers[Impact on OA and Org]))</f>
        <v>Forces manufacturers to implement sophisticated cybersecurity frameworks; increases IT costs; affects willingness to share sensitive information with partners.</v>
      </c>
      <c r="F30" s="121"/>
    </row>
    <row r="31" spans="1:7" ht="16" customHeight="1" x14ac:dyDescent="0.2">
      <c r="A31" s="172"/>
      <c r="B31" s="154"/>
      <c r="C31" s="121"/>
      <c r="D31" s="121"/>
      <c r="E31" s="121"/>
      <c r="F31" s="121"/>
    </row>
    <row r="32" spans="1:7" ht="16" x14ac:dyDescent="0.2">
      <c r="A32" s="173" t="s">
        <v>230</v>
      </c>
      <c r="B32" s="164" t="s">
        <v>51</v>
      </c>
      <c r="C32" s="165" t="s">
        <v>52</v>
      </c>
      <c r="D32" s="166" t="s">
        <v>172</v>
      </c>
      <c r="E32" s="120" t="s">
        <v>238</v>
      </c>
      <c r="F32" s="121"/>
    </row>
    <row r="33" spans="1:8" ht="48" x14ac:dyDescent="0.2">
      <c r="A33" s="172"/>
      <c r="B33" s="223" t="s">
        <v>922</v>
      </c>
      <c r="C33" s="119" t="s">
        <v>943</v>
      </c>
      <c r="D33" s="142" t="s">
        <v>944</v>
      </c>
      <c r="E33" s="142" t="s">
        <v>945</v>
      </c>
      <c r="F33" s="121"/>
      <c r="H33" s="223"/>
    </row>
    <row r="34" spans="1:8" ht="48" x14ac:dyDescent="0.2">
      <c r="A34" s="172"/>
      <c r="B34" s="223" t="s">
        <v>946</v>
      </c>
      <c r="C34" s="119" t="s">
        <v>947</v>
      </c>
      <c r="D34" s="142" t="s">
        <v>948</v>
      </c>
      <c r="E34" s="142" t="s">
        <v>949</v>
      </c>
      <c r="F34" s="121"/>
      <c r="H34" s="223"/>
    </row>
    <row r="35" spans="1:8" ht="48" x14ac:dyDescent="0.2">
      <c r="A35" s="172"/>
      <c r="B35" s="223">
        <v>2031</v>
      </c>
      <c r="C35" s="119" t="s">
        <v>950</v>
      </c>
      <c r="D35" s="142" t="s">
        <v>951</v>
      </c>
      <c r="E35" s="142" t="s">
        <v>952</v>
      </c>
      <c r="F35" s="121"/>
      <c r="H35" s="223"/>
    </row>
    <row r="36" spans="1:8" ht="64" x14ac:dyDescent="0.2">
      <c r="A36" s="172"/>
      <c r="B36" s="223" t="s">
        <v>953</v>
      </c>
      <c r="C36" s="119" t="s">
        <v>954</v>
      </c>
      <c r="D36" s="142" t="s">
        <v>955</v>
      </c>
      <c r="E36" s="142" t="s">
        <v>956</v>
      </c>
      <c r="F36" s="121"/>
      <c r="H36" s="223"/>
    </row>
    <row r="37" spans="1:8" ht="64" x14ac:dyDescent="0.2">
      <c r="A37" s="172"/>
      <c r="B37" s="223">
        <v>2034</v>
      </c>
      <c r="C37" s="119" t="s">
        <v>957</v>
      </c>
      <c r="D37" s="142" t="s">
        <v>958</v>
      </c>
      <c r="E37" s="142" t="s">
        <v>959</v>
      </c>
      <c r="F37" s="121"/>
      <c r="H37" s="223"/>
    </row>
    <row r="38" spans="1:8" ht="64" x14ac:dyDescent="0.2">
      <c r="A38" s="172"/>
      <c r="B38" s="223" t="s">
        <v>960</v>
      </c>
      <c r="C38" s="119" t="s">
        <v>961</v>
      </c>
      <c r="D38" s="142" t="s">
        <v>962</v>
      </c>
      <c r="E38" s="142" t="s">
        <v>963</v>
      </c>
      <c r="H38" s="223"/>
    </row>
    <row r="39" spans="1:8" x14ac:dyDescent="0.2">
      <c r="A39" s="172"/>
      <c r="B39" s="154"/>
      <c r="C39" s="121"/>
      <c r="D39" s="121"/>
      <c r="E39" s="121"/>
      <c r="H39" s="223"/>
    </row>
    <row r="40" spans="1:8" ht="16" x14ac:dyDescent="0.2">
      <c r="A40" s="173" t="s">
        <v>231</v>
      </c>
      <c r="B40" s="167" t="s">
        <v>40</v>
      </c>
      <c r="C40" s="168" t="s">
        <v>246</v>
      </c>
      <c r="D40" s="166" t="s">
        <v>172</v>
      </c>
      <c r="E40" s="169" t="s">
        <v>53</v>
      </c>
      <c r="H40" s="223"/>
    </row>
    <row r="41" spans="1:8" ht="48" x14ac:dyDescent="0.2">
      <c r="A41" s="172"/>
      <c r="B41" s="147">
        <v>1</v>
      </c>
      <c r="C41" s="135" t="s">
        <v>1025</v>
      </c>
      <c r="D41" s="135" t="s">
        <v>1026</v>
      </c>
      <c r="E41" s="135" t="s">
        <v>1027</v>
      </c>
    </row>
    <row r="42" spans="1:8" ht="48" x14ac:dyDescent="0.2">
      <c r="A42" s="172"/>
      <c r="B42" s="147">
        <v>2</v>
      </c>
      <c r="C42" s="135" t="s">
        <v>1028</v>
      </c>
      <c r="D42" s="135" t="s">
        <v>1029</v>
      </c>
      <c r="E42" s="135" t="s">
        <v>1030</v>
      </c>
    </row>
    <row r="43" spans="1:8" ht="48" x14ac:dyDescent="0.2">
      <c r="A43" s="172"/>
      <c r="B43" s="147">
        <v>3</v>
      </c>
      <c r="C43" s="135" t="s">
        <v>1031</v>
      </c>
      <c r="D43" s="135" t="s">
        <v>1032</v>
      </c>
      <c r="E43" s="135" t="s">
        <v>1033</v>
      </c>
      <c r="H43" s="122"/>
    </row>
    <row r="44" spans="1:8" ht="48" x14ac:dyDescent="0.2">
      <c r="A44" s="172"/>
      <c r="B44" s="147">
        <v>4</v>
      </c>
      <c r="C44" s="135" t="s">
        <v>950</v>
      </c>
      <c r="D44" s="135" t="s">
        <v>1034</v>
      </c>
      <c r="E44" s="135" t="s">
        <v>1035</v>
      </c>
    </row>
    <row r="45" spans="1:8" ht="32" x14ac:dyDescent="0.2">
      <c r="A45" s="172"/>
      <c r="B45" s="147">
        <v>5</v>
      </c>
      <c r="C45" s="176" t="s">
        <v>1036</v>
      </c>
      <c r="D45" s="176" t="s">
        <v>1037</v>
      </c>
      <c r="E45" s="176" t="s">
        <v>1038</v>
      </c>
    </row>
  </sheetData>
  <mergeCells count="15">
    <mergeCell ref="B4:C4"/>
    <mergeCell ref="D4:E4"/>
    <mergeCell ref="B7:C7"/>
    <mergeCell ref="D7:E7"/>
    <mergeCell ref="A1:E1"/>
    <mergeCell ref="B2:C2"/>
    <mergeCell ref="D2:E2"/>
    <mergeCell ref="B3:C3"/>
    <mergeCell ref="D3:E3"/>
    <mergeCell ref="B8:C8"/>
    <mergeCell ref="D8:E8"/>
    <mergeCell ref="B9:C9"/>
    <mergeCell ref="D9:E9"/>
    <mergeCell ref="B6:C6"/>
    <mergeCell ref="D6:E6"/>
  </mergeCells>
  <dataValidations count="1">
    <dataValidation type="list" allowBlank="1" showInputMessage="1" showErrorMessage="1" sqref="D5:E5" xr:uid="{ADDC66FC-FB61-634E-AC09-AFEFAF1BB611}">
      <formula1>#REF!</formula1>
    </dataValidation>
  </dataValidations>
  <pageMargins left="0.7" right="0.7" top="0.75" bottom="0.75" header="0.3" footer="0.3"/>
  <pageSetup orientation="portrait" horizontalDpi="0" verticalDpi="0"/>
  <tableParts count="4">
    <tablePart r:id="rId1"/>
    <tablePart r:id="rId2"/>
    <tablePart r:id="rId3"/>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69BB15AE-8DFC-BD46-9BDF-3B021A3F3940}">
          <x14:formula1>
            <xm:f>Lists!$AR$3:$AR$5</xm:f>
          </x14:formula1>
          <xm:sqref>D3:E3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92ABB-0B28-CC4C-9507-7A3BD7E911B6}">
  <sheetPr>
    <tabColor theme="9" tint="-0.499984740745262"/>
  </sheetPr>
  <dimension ref="A1:I47"/>
  <sheetViews>
    <sheetView workbookViewId="0">
      <selection sqref="A1:E1"/>
    </sheetView>
  </sheetViews>
  <sheetFormatPr baseColWidth="10" defaultRowHeight="15" x14ac:dyDescent="0.2"/>
  <cols>
    <col min="1" max="1" width="6.33203125" style="157" customWidth="1"/>
    <col min="2" max="2" width="9" style="145" bestFit="1" customWidth="1"/>
    <col min="3" max="3" width="40.5" style="119" customWidth="1"/>
    <col min="4" max="5" width="69.5" style="119" customWidth="1"/>
    <col min="6" max="21" width="19.6640625" style="119" customWidth="1"/>
    <col min="22" max="16384" width="10.83203125" style="119"/>
  </cols>
  <sheetData>
    <row r="1" spans="1:6" ht="17" x14ac:dyDescent="0.25">
      <c r="A1" s="472" t="s">
        <v>2238</v>
      </c>
      <c r="B1" s="472"/>
      <c r="C1" s="472"/>
      <c r="D1" s="472"/>
      <c r="E1" s="472"/>
    </row>
    <row r="2" spans="1:6" ht="15" customHeight="1" x14ac:dyDescent="0.2">
      <c r="A2" s="155" t="s">
        <v>232</v>
      </c>
      <c r="B2" s="508" t="s">
        <v>233</v>
      </c>
      <c r="C2" s="509"/>
      <c r="D2" s="510" t="s">
        <v>1073</v>
      </c>
      <c r="E2" s="480"/>
    </row>
    <row r="3" spans="1:6" ht="14" customHeight="1" x14ac:dyDescent="0.2">
      <c r="A3" s="156">
        <v>3.3</v>
      </c>
      <c r="B3" s="511" t="s">
        <v>234</v>
      </c>
      <c r="C3" s="512"/>
      <c r="D3" s="481" t="s">
        <v>239</v>
      </c>
      <c r="E3" s="482"/>
      <c r="F3" s="121"/>
    </row>
    <row r="4" spans="1:6" ht="164" customHeight="1" x14ac:dyDescent="0.2">
      <c r="A4" s="151">
        <v>3.5</v>
      </c>
      <c r="B4" s="505" t="s">
        <v>484</v>
      </c>
      <c r="C4" s="506"/>
      <c r="D4" s="507" t="s">
        <v>1166</v>
      </c>
      <c r="E4" s="476"/>
      <c r="F4" s="121"/>
    </row>
    <row r="5" spans="1:6" ht="14" customHeight="1" x14ac:dyDescent="0.2">
      <c r="A5" s="171"/>
      <c r="B5" s="153"/>
      <c r="C5" s="153"/>
      <c r="D5" s="154"/>
      <c r="E5" s="154"/>
      <c r="F5" s="121"/>
    </row>
    <row r="6" spans="1:6" ht="115" customHeight="1" x14ac:dyDescent="0.2">
      <c r="A6" s="267" t="s">
        <v>232</v>
      </c>
      <c r="B6" s="501" t="s">
        <v>1164</v>
      </c>
      <c r="C6" s="502"/>
      <c r="D6" s="489" t="s">
        <v>1167</v>
      </c>
      <c r="E6" s="490"/>
      <c r="F6" s="121"/>
    </row>
    <row r="7" spans="1:6" ht="100" customHeight="1" x14ac:dyDescent="0.2">
      <c r="A7" s="267" t="s">
        <v>231</v>
      </c>
      <c r="B7" s="503" t="s">
        <v>1165</v>
      </c>
      <c r="C7" s="504"/>
      <c r="D7" s="483" t="s">
        <v>1168</v>
      </c>
      <c r="E7" s="484"/>
      <c r="F7" s="121"/>
    </row>
    <row r="8" spans="1:6" ht="100" customHeight="1" x14ac:dyDescent="0.2">
      <c r="A8" s="267" t="s">
        <v>231</v>
      </c>
      <c r="B8" s="499" t="s">
        <v>236</v>
      </c>
      <c r="C8" s="500"/>
      <c r="D8" s="487" t="s">
        <v>1169</v>
      </c>
      <c r="E8" s="488"/>
      <c r="F8" s="121"/>
    </row>
    <row r="9" spans="1:6" ht="100" customHeight="1" x14ac:dyDescent="0.2">
      <c r="A9" s="267" t="s">
        <v>231</v>
      </c>
      <c r="B9" s="477" t="s">
        <v>235</v>
      </c>
      <c r="C9" s="478"/>
      <c r="D9" s="489" t="s">
        <v>1170</v>
      </c>
      <c r="E9" s="490"/>
      <c r="F9" s="121"/>
    </row>
    <row r="10" spans="1:6" x14ac:dyDescent="0.2">
      <c r="A10" s="145"/>
      <c r="B10" s="154"/>
      <c r="C10" s="121"/>
      <c r="D10" s="121"/>
      <c r="E10" s="121"/>
      <c r="F10" s="121"/>
    </row>
    <row r="11" spans="1:6" ht="16" x14ac:dyDescent="0.2">
      <c r="A11" s="118" t="s">
        <v>229</v>
      </c>
      <c r="B11" s="164" t="s">
        <v>40</v>
      </c>
      <c r="C11" s="174" t="s">
        <v>218</v>
      </c>
      <c r="D11" s="175" t="s">
        <v>172</v>
      </c>
      <c r="E11" s="175" t="s">
        <v>222</v>
      </c>
      <c r="F11" s="121"/>
    </row>
    <row r="12" spans="1:6" ht="32" x14ac:dyDescent="0.2">
      <c r="A12" s="152"/>
      <c r="B12" s="146" t="s">
        <v>614</v>
      </c>
      <c r="C12" s="176" t="str">
        <f>IF(FutureTrends106111[[#This Row],['#]]="","",_xlfn.XLOOKUP(FutureTrends106111[[#This Row],['#]],Trends['#],Trends[Trend Name]))</f>
        <v>Climate Adaptation Requirements</v>
      </c>
      <c r="D12" s="147" t="str">
        <f>IF(FutureTrends106111[[#This Row],['#]]="","",_xlfn.XLOOKUP(FutureTrends106111[[#This Row],['#]],Trends['#],Trends[Description]))</f>
        <v>Tropical environmental stresses intensify, demanding enhanced vehicle durability and performance engineering.</v>
      </c>
      <c r="E12" s="176" t="str">
        <f>IF(FutureTrends106111[[#This Row],['#]]="","",_xlfn.XLOOKUP(FutureTrends106111[[#This Row],['#]],Trends['#],Trends[Trend Type]))</f>
        <v>Pre-Determined</v>
      </c>
      <c r="F12" s="121"/>
    </row>
    <row r="13" spans="1:6" ht="16" x14ac:dyDescent="0.2">
      <c r="A13" s="152"/>
      <c r="B13" s="146" t="s">
        <v>615</v>
      </c>
      <c r="C13" s="176" t="str">
        <f>IF(FutureTrends106111[[#This Row],['#]]="","",_xlfn.XLOOKUP(FutureTrends106111[[#This Row],['#]],Trends['#],Trends[Trend Name]))</f>
        <v>Manufacturing Workforce Constraints</v>
      </c>
      <c r="D13" s="147" t="str">
        <f>IF(FutureTrends106111[[#This Row],['#]]="","",_xlfn.XLOOKUP(FutureTrends106111[[#This Row],['#]],Trends['#],Trends[Description]))</f>
        <v>Aging workforce and skills gaps limit production capacity and drive automation investments.</v>
      </c>
      <c r="E13" s="176" t="str">
        <f>IF(FutureTrends106111[[#This Row],['#]]="","",_xlfn.XLOOKUP(FutureTrends106111[[#This Row],['#]],Trends['#],Trends[Trend Type]))</f>
        <v>Pre-Determined</v>
      </c>
      <c r="F13" s="121"/>
    </row>
    <row r="14" spans="1:6" ht="33" customHeight="1" x14ac:dyDescent="0.2">
      <c r="A14" s="152"/>
      <c r="B14" s="146" t="s">
        <v>616</v>
      </c>
      <c r="C14" s="176" t="str">
        <f>IF(FutureTrends106111[[#This Row],['#]]="","",_xlfn.XLOOKUP(FutureTrends106111[[#This Row],['#]],Trends['#],Trends[Trend Name]))</f>
        <v>Western Governance Standards Enforcement</v>
      </c>
      <c r="D14" s="147" t="str">
        <f>IF(FutureTrends106111[[#This Row],['#]]="","",_xlfn.XLOOKUP(FutureTrends106111[[#This Row],['#]],Trends['#],Trends[Description]))</f>
        <v>Geopolitical alignment drives anti-corruption enforcement and cyber threats intensify against democratic nations.</v>
      </c>
      <c r="E14" s="176" t="str">
        <f>IF(FutureTrends106111[[#This Row],['#]]="","",_xlfn.XLOOKUP(FutureTrends106111[[#This Row],['#]],Trends['#],Trends[Trend Type]))</f>
        <v>Pre-Determined</v>
      </c>
      <c r="F14" s="121"/>
    </row>
    <row r="15" spans="1:6" ht="33" customHeight="1" x14ac:dyDescent="0.2">
      <c r="A15" s="152"/>
      <c r="B15" s="148" t="s">
        <v>620</v>
      </c>
      <c r="C15" s="176" t="str">
        <f>IF(FutureTrends106111[[#This Row],['#]]="","",_xlfn.XLOOKUP(FutureTrends106111[[#This Row],['#]],Trends['#],Trends[Trend Name]))</f>
        <v>Geopolitical Security Escalation</v>
      </c>
      <c r="D15" s="147" t="str">
        <f>IF(FutureTrends106111[[#This Row],['#]]="","",_xlfn.XLOOKUP(FutureTrends106111[[#This Row],['#]],Trends['#],Trends[Description]))</f>
        <v>China assertiveness drives regional tensions, defense modernization urgency, and U.S. alliance value.</v>
      </c>
      <c r="E15" s="176" t="str">
        <f>IF(FutureTrends106111[[#This Row],['#]]="","",_xlfn.XLOOKUP(FutureTrends106111[[#This Row],['#]],Trends['#],Trends[Trend Type]))</f>
        <v>Critical Uncertain</v>
      </c>
      <c r="F15" s="121"/>
    </row>
    <row r="16" spans="1:6" ht="17" customHeight="1" x14ac:dyDescent="0.2">
      <c r="A16" s="145"/>
      <c r="B16" s="148" t="s">
        <v>619</v>
      </c>
      <c r="C16" s="176" t="str">
        <f>IF(FutureTrends106111[[#This Row],['#]]="","",_xlfn.XLOOKUP(FutureTrends106111[[#This Row],['#]],Trends['#],Trends[Trend Name]))</f>
        <v>U.S. Defense Budget Constraint</v>
      </c>
      <c r="D16" s="147" t="str">
        <f>IF(FutureTrends106111[[#This Row],['#]]="","",_xlfn.XLOOKUP(FutureTrends106111[[#This Row],['#]],Trends['#],Trends[Description]))</f>
        <v>Fiscal pressures reduce domestic procurement and challenge alliance commitment perceptions.</v>
      </c>
      <c r="E16" s="176" t="str">
        <f>IF(FutureTrends106111[[#This Row],['#]]="","",_xlfn.XLOOKUP(FutureTrends106111[[#This Row],['#]],Trends['#],Trends[Trend Type]))</f>
        <v>Critical Uncertain</v>
      </c>
    </row>
    <row r="17" spans="1:9" ht="16" customHeight="1" x14ac:dyDescent="0.2">
      <c r="A17" s="145"/>
      <c r="B17" s="154"/>
      <c r="C17" s="121"/>
      <c r="D17" s="121"/>
      <c r="E17" s="121"/>
    </row>
    <row r="18" spans="1:9" ht="16" customHeight="1" x14ac:dyDescent="0.2">
      <c r="A18" s="118" t="s">
        <v>229</v>
      </c>
      <c r="B18" s="164" t="s">
        <v>40</v>
      </c>
      <c r="C18" s="174" t="s">
        <v>237</v>
      </c>
      <c r="D18" s="160" t="s">
        <v>486</v>
      </c>
      <c r="E18" s="175" t="s">
        <v>638</v>
      </c>
    </row>
    <row r="19" spans="1:9" ht="46" customHeight="1" x14ac:dyDescent="0.2">
      <c r="A19" s="152"/>
      <c r="B19" s="147">
        <v>1</v>
      </c>
      <c r="C19" s="147" t="str">
        <f>IF(FutureDrivers107112[[#This Row],['#]]="","",_xlfn.XLOOKUP(FutureDrivers107112[[#This Row],['#]],Drivers[Driv '#],Drivers[Driver Short Name]))</f>
        <v>Fiscal Constraint and Deficit Reduction</v>
      </c>
      <c r="D19" s="147" t="str">
        <f>IF(FutureDrivers107112[[#This Row],['#]]="","",_xlfn.XLOOKUP(FutureDrivers107112[[#This Row],['#]],Drivers[Driv '#],Drivers[Impact on SE]))</f>
        <v>Could significantly reduce global confidence in U.S. defense partnerships or prove manageable; uncertainty affects allied planning and procurement timing.</v>
      </c>
      <c r="E19" s="147" t="str">
        <f>IF(FutureDrivers107112[[#This Row],['#]]="","",_xlfn.XLOOKUP(FutureDrivers107112[[#This Row],['#]],Drivers[Driv '#],Drivers[Impact on OA and Org]))</f>
        <v>May shrink domestic market substantially or moderately; exact impact timing uncertain; forces manufacturers to prepare multiple contingency scenarios.</v>
      </c>
    </row>
    <row r="20" spans="1:9" ht="46" customHeight="1" x14ac:dyDescent="0.2">
      <c r="A20" s="152"/>
      <c r="B20" s="147">
        <v>2</v>
      </c>
      <c r="C20" s="147" t="str">
        <f>IF(FutureDrivers107112[[#This Row],['#]]="","",_xlfn.XLOOKUP(FutureDrivers107112[[#This Row],['#]],Drivers[Driv '#],Drivers[Driver Short Name]))</f>
        <v>Geopolitical Competition and Security Concerns</v>
      </c>
      <c r="D20" s="147" t="str">
        <f>IF(FutureDrivers107112[[#This Row],['#]]="","",_xlfn.XLOOKUP(FutureDrivers107112[[#This Row],['#]],Drivers[Driv '#],Drivers[Impact on SE]))</f>
        <v>Accelerates allied nations' defense procurement from U.S. sources; strengthens security partnerships but creates approval bottlenecks.</v>
      </c>
      <c r="E20" s="147" t="str">
        <f>IF(FutureDrivers107112[[#This Row],['#]]="","",_xlfn.XLOOKUP(FutureDrivers107112[[#This Row],['#]],Drivers[Driv '#],Drivers[Impact on OA and Org]))</f>
        <v>Creates advantage for manufacturers serving allied nations; increases compliance complexity; may accelerate approvals for Southeast Asian markets.</v>
      </c>
    </row>
    <row r="21" spans="1:9" ht="46" customHeight="1" x14ac:dyDescent="0.2">
      <c r="A21" s="152"/>
      <c r="B21" s="178">
        <v>3</v>
      </c>
      <c r="C21" s="147" t="str">
        <f>IF(FutureDrivers107112[[#This Row],['#]]="","",_xlfn.XLOOKUP(FutureDrivers107112[[#This Row],['#]],Drivers[Driv '#],Drivers[Driver Short Name]))</f>
        <v>Regional Security Tensions and Modernization</v>
      </c>
      <c r="D21" s="147" t="str">
        <f>IF(FutureDrivers107112[[#This Row],['#]]="","",_xlfn.XLOOKUP(FutureDrivers107112[[#This Row],['#]],Drivers[Driv '#],Drivers[Impact on SE]))</f>
        <v>Expands defense market opportunities in region; accelerates procurement timelines; increases receptivity to U.S. defense partnerships.</v>
      </c>
      <c r="E21" s="147" t="str">
        <f>IF(FutureDrivers107112[[#This Row],['#]]="","",_xlfn.XLOOKUP(FutureDrivers107112[[#This Row],['#]],Drivers[Driv '#],Drivers[Impact on OA and Org]))</f>
        <v>Creates growth opportunities for U.S. manufacturers; may reduce entry barriers; increases demand for armored vehicles meeting regional requirements.</v>
      </c>
    </row>
    <row r="22" spans="1:9" ht="46" customHeight="1" x14ac:dyDescent="0.2">
      <c r="A22" s="152"/>
      <c r="B22" s="147">
        <v>7</v>
      </c>
      <c r="C22" s="147" t="str">
        <f>IF(FutureDrivers107112[[#This Row],['#]]="","",_xlfn.XLOOKUP(FutureDrivers107112[[#This Row],['#]],Drivers[Driv '#],Drivers[Driver Short Name]))</f>
        <v>Demographic Shifts and Education Gaps</v>
      </c>
      <c r="D22" s="147" t="str">
        <f>IF(FutureDrivers107112[[#This Row],['#]]="","",_xlfn.XLOOKUP(FutureDrivers107112[[#This Row],['#]],Drivers[Driv '#],Drivers[Impact on SE]))</f>
        <v>Forces global manufacturers to compete for shrinking talent pool; accelerates offshoring and automation adoption; increases operational costs.</v>
      </c>
      <c r="E22" s="147" t="str">
        <f>IF(FutureDrivers107112[[#This Row],['#]]="","",_xlfn.XLOOKUP(FutureDrivers107112[[#This Row],['#]],Drivers[Driv '#],Drivers[Impact on OA and Org]))</f>
        <v>Drives recruitment challenges; necessitates enhanced training programs; may require international partnerships for production capacity expansion.</v>
      </c>
    </row>
    <row r="23" spans="1:9" ht="46" customHeight="1" x14ac:dyDescent="0.2">
      <c r="A23" s="152"/>
      <c r="B23" s="147">
        <v>8</v>
      </c>
      <c r="C23" s="147" t="str">
        <f>IF(FutureDrivers107112[[#This Row],['#]]="","",_xlfn.XLOOKUP(FutureDrivers107112[[#This Row],['#]],Drivers[Driv '#],Drivers[Driver Short Name]))</f>
        <v>Relationship-Based Commerce and Trust</v>
      </c>
      <c r="D23" s="147" t="str">
        <f>IF(FutureDrivers107112[[#This Row],['#]]="","",_xlfn.XLOOKUP(FutureDrivers107112[[#This Row],['#]],Drivers[Driv '#],Drivers[Impact on SE]))</f>
        <v>Maintains entry barriers but not prohibitive; established players have advantages but newcomers can build relationships over time.</v>
      </c>
      <c r="E23" s="147" t="str">
        <f>IF(FutureDrivers107112[[#This Row],['#]]="","",_xlfn.XLOOKUP(FutureDrivers107112[[#This Row],['#]],Drivers[Driv '#],Drivers[Impact on OA and Org]))</f>
        <v>Requires cultural training and sustained engagement investment; manageable cost of market entry; not differentiating factor long-term.</v>
      </c>
      <c r="I23" s="220"/>
    </row>
    <row r="24" spans="1:9" ht="46" customHeight="1" x14ac:dyDescent="0.2">
      <c r="A24" s="152"/>
      <c r="B24" s="147">
        <v>9</v>
      </c>
      <c r="C24" s="147" t="str">
        <f>IF(FutureDrivers107112[[#This Row],['#]]="","",_xlfn.XLOOKUP(FutureDrivers107112[[#This Row],['#]],Drivers[Driv '#],Drivers[Driver Short Name]))</f>
        <v>U.S. Security Partnership and Alliance Value</v>
      </c>
      <c r="D24" s="147" t="str">
        <f>IF(FutureDrivers107112[[#This Row],['#]]="","",_xlfn.XLOOKUP(FutureDrivers107112[[#This Row],['#]],Drivers[Driv '#],Drivers[Impact on SE]))</f>
        <v>Deepens security cooperation between U.S. and Southeast Asian nations; increases receptivity to U.S. defense partnerships.</v>
      </c>
      <c r="E24" s="147" t="str">
        <f>IF(FutureDrivers107112[[#This Row],['#]]="","",_xlfn.XLOOKUP(FutureDrivers107112[[#This Row],['#]],Drivers[Driv '#],Drivers[Impact on OA and Org]))</f>
        <v>Accelerates market access for U.S. manufacturers; creates preference for American systems; may ease offset requirements for strategic partnerships.</v>
      </c>
    </row>
    <row r="25" spans="1:9" ht="32" x14ac:dyDescent="0.2">
      <c r="A25" s="152"/>
      <c r="B25" s="147">
        <v>13</v>
      </c>
      <c r="C25" s="147" t="str">
        <f>IF(FutureDrivers107112[[#This Row],['#]]="","",_xlfn.XLOOKUP(FutureDrivers107112[[#This Row],['#]],Drivers[Driv '#],Drivers[Driver Short Name]))</f>
        <v>Global Anti-Corruption Enforcement Intensification</v>
      </c>
      <c r="D25" s="147" t="str">
        <f>IF(FutureDrivers107112[[#This Row],['#]]="","",_xlfn.XLOOKUP(FutureDrivers107112[[#This Row],['#]],Drivers[Driv '#],Drivers[Impact on SE]))</f>
        <v>Raises global business conduct standards; increases prosecution risks; forces companies to implement more rigorous compliance frameworks internationally.</v>
      </c>
      <c r="E25" s="147" t="str">
        <f>IF(FutureDrivers107112[[#This Row],['#]]="","",_xlfn.XLOOKUP(FutureDrivers107112[[#This Row],['#]],Drivers[Driv '#],Drivers[Impact on OA and Org]))</f>
        <v>Increases operational costs; extends contract timelines; requires enhanced due diligence; creates competitive disadvantages in markets tolerating corruption.</v>
      </c>
    </row>
    <row r="26" spans="1:9" ht="32" x14ac:dyDescent="0.2">
      <c r="A26" s="152"/>
      <c r="B26" s="147">
        <v>15</v>
      </c>
      <c r="C26" s="147" t="str">
        <f>IF(FutureDrivers107112[[#This Row],['#]]="","",_xlfn.XLOOKUP(FutureDrivers107112[[#This Row],['#]],Drivers[Driv '#],Drivers[Driver Short Name]))</f>
        <v>Geopolitical Alignment and Human Rights</v>
      </c>
      <c r="D26" s="147" t="str">
        <f>IF(FutureDrivers107112[[#This Row],['#]]="","",_xlfn.XLOOKUP(FutureDrivers107112[[#This Row],['#]],Drivers[Driv '#],Drivers[Impact on SE]))</f>
        <v>Reinforces security partnerships with aligned nations; limits defense trade with nations having poor human rights records or neutral stances.</v>
      </c>
      <c r="E26" s="147" t="str">
        <f>IF(FutureDrivers107112[[#This Row],['#]]="","",_xlfn.XLOOKUP(FutureDrivers107112[[#This Row],['#]],Drivers[Driv '#],Drivers[Impact on OA and Org]))</f>
        <v>Creates predictability for allied nation sales; increases uncertainty for non-aligned markets; may exclude certain Southeast Asian countries.</v>
      </c>
    </row>
    <row r="27" spans="1:9" ht="32" x14ac:dyDescent="0.2">
      <c r="A27" s="145"/>
      <c r="B27" s="147">
        <v>16</v>
      </c>
      <c r="C27" s="147" t="str">
        <f>IF(FutureDrivers107112[[#This Row],['#]]="","",_xlfn.XLOOKUP(FutureDrivers107112[[#This Row],['#]],Drivers[Driv '#],Drivers[Driver Short Name]))</f>
        <v>Climate Change and Extreme Weather</v>
      </c>
      <c r="D27" s="147" t="str">
        <f>IF(FutureDrivers107112[[#This Row],['#]]="","",_xlfn.XLOOKUP(FutureDrivers107112[[#This Row],['#]],Drivers[Driv '#],Drivers[Impact on SE]))</f>
        <v>Elevates equipment durability requirements globally; increases maintenance burdens; accelerates replacement cycles for equipment in harsh environments.</v>
      </c>
      <c r="E27" s="147" t="str">
        <f>IF(FutureDrivers107112[[#This Row],['#]]="","",_xlfn.XLOOKUP(FutureDrivers107112[[#This Row],['#]],Drivers[Driv '#],Drivers[Impact on OA and Org]))</f>
        <v>Raises performance standards for tropical markets; creates differentiation opportunities for environmentally-hardened systems; increases development costs.</v>
      </c>
    </row>
    <row r="28" spans="1:9" ht="32" x14ac:dyDescent="0.2">
      <c r="A28" s="145"/>
      <c r="B28" s="147">
        <v>19</v>
      </c>
      <c r="C28" s="147" t="str">
        <f>IF(FutureDrivers107112[[#This Row],['#]]="","",_xlfn.XLOOKUP(FutureDrivers107112[[#This Row],['#]],Drivers[Driv '#],Drivers[Driver Short Name]))</f>
        <v>Maritime Sovereignty Competition and Chinese Assertiveness</v>
      </c>
      <c r="D28" s="147" t="str">
        <f>IF(FutureDrivers107112[[#This Row],['#]]="","",_xlfn.XLOOKUP(FutureDrivers107112[[#This Row],['#]],Drivers[Driv '#],Drivers[Impact on SE]))</f>
        <v>Sustains elevated regional military spending; reinforces U.S. security partnerships; maintains high demand for deterrent capabilities and modernization.</v>
      </c>
      <c r="E28" s="147" t="str">
        <f>IF(FutureDrivers107112[[#This Row],['#]]="","",_xlfn.XLOOKUP(FutureDrivers107112[[#This Row],['#]],Drivers[Driv '#],Drivers[Impact on OA and Org]))</f>
        <v>Creates long-term market opportunity; sustains defense budget growth; drives preference for proven U.S. systems with interoperability advantages.</v>
      </c>
      <c r="F28" s="121"/>
    </row>
    <row r="29" spans="1:9" ht="32" x14ac:dyDescent="0.2">
      <c r="A29" s="177"/>
      <c r="B29" s="147">
        <v>21</v>
      </c>
      <c r="C29" s="147" t="str">
        <f>IF(FutureDrivers107112[[#This Row],['#]]="","",_xlfn.XLOOKUP(FutureDrivers107112[[#This Row],['#]],Drivers[Driv '#],Drivers[Driver Short Name]))</f>
        <v>Nation-State Cyber Espionage Campaigns</v>
      </c>
      <c r="D29" s="147" t="str">
        <f>IF(FutureDrivers107112[[#This Row],['#]]="","",_xlfn.XLOOKUP(FutureDrivers107112[[#This Row],['#]],Drivers[Driv '#],Drivers[Impact on SE]))</f>
        <v>Accelerates cybersecurity requirements in defense procurement; increases costs industry-wide; creates trust barriers in international technology sharing.</v>
      </c>
      <c r="E29" s="147" t="str">
        <f>IF(FutureDrivers107112[[#This Row],['#]]="","",_xlfn.XLOOKUP(FutureDrivers107112[[#This Row],['#]],Drivers[Driv '#],Drivers[Impact on OA and Org]))</f>
        <v>Forces manufacturers to implement sophisticated cybersecurity frameworks; increases IT costs; affects willingness to share sensitive information with partners.</v>
      </c>
      <c r="F29" s="121"/>
    </row>
    <row r="30" spans="1:9" ht="16" customHeight="1" x14ac:dyDescent="0.2">
      <c r="A30" s="145"/>
      <c r="B30" s="154"/>
      <c r="C30" s="121"/>
      <c r="D30" s="121"/>
      <c r="E30" s="121"/>
      <c r="F30" s="121"/>
    </row>
    <row r="31" spans="1:9" ht="16" x14ac:dyDescent="0.2">
      <c r="A31" s="118" t="s">
        <v>230</v>
      </c>
      <c r="B31" s="164" t="s">
        <v>51</v>
      </c>
      <c r="C31" s="165" t="s">
        <v>52</v>
      </c>
      <c r="D31" s="120" t="s">
        <v>172</v>
      </c>
      <c r="E31" s="120" t="s">
        <v>238</v>
      </c>
      <c r="F31" s="121"/>
    </row>
    <row r="32" spans="1:9" ht="64" x14ac:dyDescent="0.2">
      <c r="A32" s="152"/>
      <c r="B32" s="172" t="s">
        <v>922</v>
      </c>
      <c r="C32" s="84" t="s">
        <v>964</v>
      </c>
      <c r="D32" s="135" t="s">
        <v>965</v>
      </c>
      <c r="E32" s="135" t="s">
        <v>966</v>
      </c>
      <c r="F32" s="121"/>
    </row>
    <row r="33" spans="1:6" ht="64" x14ac:dyDescent="0.2">
      <c r="A33" s="152"/>
      <c r="B33" s="172" t="s">
        <v>946</v>
      </c>
      <c r="C33" s="84" t="s">
        <v>967</v>
      </c>
      <c r="D33" s="135" t="s">
        <v>968</v>
      </c>
      <c r="E33" s="135" t="s">
        <v>969</v>
      </c>
      <c r="F33" s="121"/>
    </row>
    <row r="34" spans="1:6" ht="48" x14ac:dyDescent="0.2">
      <c r="A34" s="152"/>
      <c r="B34" s="172">
        <v>2031</v>
      </c>
      <c r="C34" s="84" t="s">
        <v>970</v>
      </c>
      <c r="D34" s="135" t="s">
        <v>971</v>
      </c>
      <c r="E34" s="135" t="s">
        <v>972</v>
      </c>
      <c r="F34" s="121"/>
    </row>
    <row r="35" spans="1:6" ht="64" x14ac:dyDescent="0.2">
      <c r="A35" s="152"/>
      <c r="B35" s="172" t="s">
        <v>953</v>
      </c>
      <c r="C35" s="135" t="s">
        <v>973</v>
      </c>
      <c r="D35" s="135" t="s">
        <v>974</v>
      </c>
      <c r="E35" s="135" t="s">
        <v>975</v>
      </c>
      <c r="F35" s="121"/>
    </row>
    <row r="36" spans="1:6" ht="64" x14ac:dyDescent="0.2">
      <c r="A36" s="152"/>
      <c r="B36" s="172">
        <v>2034</v>
      </c>
      <c r="C36" s="135" t="s">
        <v>976</v>
      </c>
      <c r="D36" s="135" t="s">
        <v>977</v>
      </c>
      <c r="E36" s="135" t="s">
        <v>978</v>
      </c>
      <c r="F36" s="121"/>
    </row>
    <row r="37" spans="1:6" ht="80" x14ac:dyDescent="0.2">
      <c r="A37" s="145"/>
      <c r="B37" s="172" t="s">
        <v>960</v>
      </c>
      <c r="C37" s="135" t="s">
        <v>979</v>
      </c>
      <c r="D37" s="135" t="s">
        <v>980</v>
      </c>
      <c r="E37" s="135" t="s">
        <v>981</v>
      </c>
    </row>
    <row r="38" spans="1:6" x14ac:dyDescent="0.2">
      <c r="A38" s="145"/>
      <c r="B38" s="154"/>
      <c r="C38" s="121"/>
      <c r="D38" s="121"/>
      <c r="E38" s="121"/>
    </row>
    <row r="39" spans="1:6" ht="16" x14ac:dyDescent="0.2">
      <c r="A39" s="118" t="s">
        <v>231</v>
      </c>
      <c r="B39" s="167" t="s">
        <v>40</v>
      </c>
      <c r="C39" s="168" t="s">
        <v>246</v>
      </c>
      <c r="D39" s="120" t="s">
        <v>172</v>
      </c>
      <c r="E39" s="169" t="s">
        <v>53</v>
      </c>
    </row>
    <row r="40" spans="1:6" ht="48" x14ac:dyDescent="0.2">
      <c r="A40" s="152"/>
      <c r="B40" s="170">
        <v>1</v>
      </c>
      <c r="C40" s="176" t="s">
        <v>967</v>
      </c>
      <c r="D40" s="176" t="s">
        <v>1039</v>
      </c>
      <c r="E40" s="176" t="s">
        <v>1040</v>
      </c>
    </row>
    <row r="41" spans="1:6" ht="48" x14ac:dyDescent="0.2">
      <c r="A41" s="152"/>
      <c r="B41" s="170">
        <v>2</v>
      </c>
      <c r="C41" s="176" t="s">
        <v>1041</v>
      </c>
      <c r="D41" s="176" t="s">
        <v>1042</v>
      </c>
      <c r="E41" s="176" t="s">
        <v>1043</v>
      </c>
    </row>
    <row r="42" spans="1:6" ht="48" x14ac:dyDescent="0.2">
      <c r="A42" s="152"/>
      <c r="B42" s="170">
        <v>3</v>
      </c>
      <c r="C42" s="176" t="s">
        <v>1044</v>
      </c>
      <c r="D42" s="176" t="s">
        <v>1045</v>
      </c>
      <c r="E42" s="176" t="s">
        <v>1046</v>
      </c>
    </row>
    <row r="43" spans="1:6" ht="48" x14ac:dyDescent="0.2">
      <c r="A43" s="152"/>
      <c r="B43" s="170">
        <v>4</v>
      </c>
      <c r="C43" s="176" t="s">
        <v>1047</v>
      </c>
      <c r="D43" s="176" t="s">
        <v>1048</v>
      </c>
      <c r="E43" s="176" t="s">
        <v>1049</v>
      </c>
    </row>
    <row r="44" spans="1:6" ht="32" x14ac:dyDescent="0.2">
      <c r="A44" s="145"/>
      <c r="B44" s="170">
        <v>5</v>
      </c>
      <c r="C44" s="176" t="s">
        <v>1050</v>
      </c>
      <c r="D44" s="176" t="s">
        <v>1051</v>
      </c>
      <c r="E44" s="176" t="s">
        <v>1052</v>
      </c>
    </row>
    <row r="45" spans="1:6" x14ac:dyDescent="0.2">
      <c r="A45" s="145"/>
    </row>
    <row r="46" spans="1:6" x14ac:dyDescent="0.2">
      <c r="A46" s="145"/>
    </row>
    <row r="47" spans="1:6" x14ac:dyDescent="0.2">
      <c r="A47" s="145"/>
    </row>
  </sheetData>
  <mergeCells count="15">
    <mergeCell ref="B4:C4"/>
    <mergeCell ref="D4:E4"/>
    <mergeCell ref="B7:C7"/>
    <mergeCell ref="D7:E7"/>
    <mergeCell ref="A1:E1"/>
    <mergeCell ref="B2:C2"/>
    <mergeCell ref="D2:E2"/>
    <mergeCell ref="B3:C3"/>
    <mergeCell ref="D3:E3"/>
    <mergeCell ref="B8:C8"/>
    <mergeCell ref="D8:E8"/>
    <mergeCell ref="B9:C9"/>
    <mergeCell ref="D9:E9"/>
    <mergeCell ref="B6:C6"/>
    <mergeCell ref="D6:E6"/>
  </mergeCells>
  <dataValidations count="1">
    <dataValidation type="list" allowBlank="1" showInputMessage="1" showErrorMessage="1" sqref="D5:E5" xr:uid="{5B71EE62-C194-1C48-A148-422B6B4C2050}">
      <formula1>#REF!</formula1>
    </dataValidation>
  </dataValidations>
  <pageMargins left="0.7" right="0.7" top="0.75" bottom="0.75" header="0.3" footer="0.3"/>
  <pageSetup orientation="portrait" horizontalDpi="0" verticalDpi="0"/>
  <tableParts count="4">
    <tablePart r:id="rId1"/>
    <tablePart r:id="rId2"/>
    <tablePart r:id="rId3"/>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3F3EE39E-5918-5C44-A47F-145A523D3D81}">
          <x14:formula1>
            <xm:f>Lists!$AR$3:$AR$5</xm:f>
          </x14:formula1>
          <xm:sqref>D3:E3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187B1-32C4-F141-A7B8-B31A125F3453}">
  <sheetPr>
    <tabColor theme="9" tint="-0.499984740745262"/>
  </sheetPr>
  <dimension ref="A1:I43"/>
  <sheetViews>
    <sheetView workbookViewId="0">
      <selection sqref="A1:E1"/>
    </sheetView>
  </sheetViews>
  <sheetFormatPr baseColWidth="10" defaultRowHeight="15" x14ac:dyDescent="0.2"/>
  <cols>
    <col min="1" max="1" width="6.33203125" style="157" customWidth="1"/>
    <col min="2" max="2" width="7.33203125" style="145" bestFit="1" customWidth="1"/>
    <col min="3" max="3" width="34" style="119" customWidth="1"/>
    <col min="4" max="5" width="69.5" style="119" customWidth="1"/>
    <col min="6" max="27" width="19.6640625" style="119" customWidth="1"/>
    <col min="28" max="16384" width="10.83203125" style="119"/>
  </cols>
  <sheetData>
    <row r="1" spans="1:8" ht="17" x14ac:dyDescent="0.25">
      <c r="A1" s="472" t="s">
        <v>2237</v>
      </c>
      <c r="B1" s="472"/>
      <c r="C1" s="472"/>
      <c r="D1" s="472"/>
      <c r="E1" s="472"/>
    </row>
    <row r="2" spans="1:8" ht="15" customHeight="1" x14ac:dyDescent="0.2">
      <c r="A2" s="155" t="s">
        <v>232</v>
      </c>
      <c r="B2" s="491" t="s">
        <v>233</v>
      </c>
      <c r="C2" s="492"/>
      <c r="D2" s="521" t="s">
        <v>1074</v>
      </c>
      <c r="E2" s="522"/>
    </row>
    <row r="3" spans="1:8" ht="14" customHeight="1" x14ac:dyDescent="0.2">
      <c r="A3" s="156">
        <v>3.3</v>
      </c>
      <c r="B3" s="493" t="s">
        <v>234</v>
      </c>
      <c r="C3" s="494"/>
      <c r="D3" s="481" t="s">
        <v>41</v>
      </c>
      <c r="E3" s="482"/>
      <c r="F3" s="121"/>
    </row>
    <row r="4" spans="1:8" ht="150" customHeight="1" x14ac:dyDescent="0.2">
      <c r="A4" s="151">
        <v>3.5</v>
      </c>
      <c r="B4" s="473" t="s">
        <v>484</v>
      </c>
      <c r="C4" s="474"/>
      <c r="D4" s="519" t="s">
        <v>1075</v>
      </c>
      <c r="E4" s="520"/>
      <c r="F4" s="121"/>
    </row>
    <row r="5" spans="1:8" ht="14" customHeight="1" x14ac:dyDescent="0.2">
      <c r="A5" s="171"/>
      <c r="B5" s="153"/>
      <c r="C5" s="153"/>
      <c r="D5" s="32"/>
      <c r="E5" s="32"/>
      <c r="F5" s="121"/>
    </row>
    <row r="6" spans="1:8" ht="122" customHeight="1" x14ac:dyDescent="0.2">
      <c r="A6" s="386" t="s">
        <v>232</v>
      </c>
      <c r="B6" s="501" t="s">
        <v>1164</v>
      </c>
      <c r="C6" s="502"/>
      <c r="D6" s="517" t="s">
        <v>986</v>
      </c>
      <c r="E6" s="518"/>
      <c r="F6" s="121"/>
    </row>
    <row r="7" spans="1:8" ht="118" customHeight="1" x14ac:dyDescent="0.2">
      <c r="A7" s="387" t="s">
        <v>231</v>
      </c>
      <c r="B7" s="503" t="s">
        <v>1165</v>
      </c>
      <c r="C7" s="504"/>
      <c r="D7" s="517" t="s">
        <v>1007</v>
      </c>
      <c r="E7" s="518"/>
      <c r="F7" s="121"/>
    </row>
    <row r="8" spans="1:8" s="121" customFormat="1" ht="118" customHeight="1" x14ac:dyDescent="0.2">
      <c r="A8" s="388" t="s">
        <v>231</v>
      </c>
      <c r="B8" s="499" t="s">
        <v>236</v>
      </c>
      <c r="C8" s="500"/>
      <c r="D8" s="513" t="s">
        <v>1008</v>
      </c>
      <c r="E8" s="514"/>
    </row>
    <row r="9" spans="1:8" s="121" customFormat="1" ht="104" customHeight="1" x14ac:dyDescent="0.2">
      <c r="A9" s="389" t="s">
        <v>231</v>
      </c>
      <c r="B9" s="477" t="s">
        <v>235</v>
      </c>
      <c r="C9" s="478"/>
      <c r="D9" s="515" t="s">
        <v>1009</v>
      </c>
      <c r="E9" s="516"/>
    </row>
    <row r="10" spans="1:8" x14ac:dyDescent="0.2">
      <c r="A10" s="172"/>
      <c r="B10" s="154"/>
      <c r="C10" s="121"/>
      <c r="D10" s="121"/>
      <c r="E10" s="121"/>
      <c r="F10" s="121"/>
    </row>
    <row r="11" spans="1:8" ht="16" x14ac:dyDescent="0.2">
      <c r="A11" s="128" t="s">
        <v>229</v>
      </c>
      <c r="B11" s="158" t="s">
        <v>40</v>
      </c>
      <c r="C11" s="159" t="s">
        <v>218</v>
      </c>
      <c r="D11" s="160" t="s">
        <v>172</v>
      </c>
      <c r="E11" s="161" t="s">
        <v>222</v>
      </c>
      <c r="F11" s="121"/>
    </row>
    <row r="12" spans="1:8" ht="17" customHeight="1" x14ac:dyDescent="0.2">
      <c r="A12" s="172"/>
      <c r="B12" s="148" t="s">
        <v>918</v>
      </c>
      <c r="C12" s="141" t="str">
        <f>IF(FutureTrends106111116[[#This Row],['#]]="","",_xlfn.XLOOKUP(FutureTrends106111116[[#This Row],['#]],Trends['#],Trends[Trend Name]))</f>
        <v>Global Supply Chain Volatility</v>
      </c>
      <c r="D12" s="124" t="str">
        <f>IF(FutureTrends106111116[[#This Row],['#]]="","",_xlfn.XLOOKUP(FutureTrends106111116[[#This Row],['#]],Trends['#],Trends[Description]))</f>
        <v>Geopolitical disruptions and material shortages create unpredictable cost and delivery challenges.</v>
      </c>
      <c r="E12" s="163" t="str">
        <f>IF(FutureTrends106111116[[#This Row],['#]]="","",_xlfn.XLOOKUP(FutureTrends106111116[[#This Row],['#]],Trends['#],Trends[Trend Type]))</f>
        <v>Exogenous contingency</v>
      </c>
      <c r="F12" s="121"/>
    </row>
    <row r="13" spans="1:8" ht="17" customHeight="1" x14ac:dyDescent="0.2">
      <c r="A13" s="172"/>
      <c r="B13" s="146" t="s">
        <v>899</v>
      </c>
      <c r="C13" s="141" t="str">
        <f>IF(FutureTrends106111116[[#This Row],['#]]="","",_xlfn.XLOOKUP(FutureTrends106111116[[#This Row],['#]],Trends['#],Trends[Trend Name]))</f>
        <v>Southeast Asian Economic Growth</v>
      </c>
      <c r="D13" s="124" t="str">
        <f>IF(FutureTrends106111116[[#This Row],['#]]="","",_xlfn.XLOOKUP(FutureTrends106111116[[#This Row],['#]],Trends['#],Trends[Description]))</f>
        <v>Regional prosperity enables sustained defense spending and technological sophistication demands.</v>
      </c>
      <c r="E13" s="162" t="str">
        <f>IF(FutureTrends106111116[[#This Row],['#]]="","",_xlfn.XLOOKUP(FutureTrends106111116[[#This Row],['#]],Trends['#],Trends[Trend Type]))</f>
        <v>Critical Uncertain</v>
      </c>
      <c r="F13" s="121"/>
    </row>
    <row r="14" spans="1:8" ht="15" customHeight="1" x14ac:dyDescent="0.2">
      <c r="A14" s="172"/>
      <c r="B14" s="146" t="s">
        <v>129</v>
      </c>
      <c r="C14" s="141" t="str">
        <f>IF(FutureTrends106111116[[#This Row],['#]]="","",_xlfn.XLOOKUP(FutureTrends106111116[[#This Row],['#]],Trends['#],Trends[Trend Name]))</f>
        <v>Internal Security Threats</v>
      </c>
      <c r="D14" s="124" t="str">
        <f>IF(FutureTrends106111116[[#This Row],['#]]="","",_xlfn.XLOOKUP(FutureTrends106111116[[#This Row],['#]],Trends['#],Trends[Description]))</f>
        <v>Extremism and insurgencies expand addressable markets beyond conventional military applications.</v>
      </c>
      <c r="E14" s="141" t="str">
        <f>IF(FutureTrends106111116[[#This Row],['#]]="","",_xlfn.XLOOKUP(FutureTrends106111116[[#This Row],['#]],Trends['#],Trends[Trend Type]))</f>
        <v>Critical Uncertain</v>
      </c>
    </row>
    <row r="15" spans="1:8" ht="16" customHeight="1" x14ac:dyDescent="0.2">
      <c r="A15" s="172"/>
      <c r="B15" s="154"/>
      <c r="C15" s="121"/>
      <c r="D15" s="121"/>
      <c r="E15" s="121"/>
    </row>
    <row r="16" spans="1:8" ht="16" customHeight="1" x14ac:dyDescent="0.2">
      <c r="A16" s="128" t="s">
        <v>229</v>
      </c>
      <c r="B16" s="164" t="s">
        <v>40</v>
      </c>
      <c r="C16" s="174" t="s">
        <v>237</v>
      </c>
      <c r="D16" s="160" t="s">
        <v>486</v>
      </c>
      <c r="E16" s="175" t="s">
        <v>638</v>
      </c>
      <c r="G16" s="172"/>
      <c r="H16" s="142"/>
    </row>
    <row r="17" spans="1:8" ht="16" customHeight="1" x14ac:dyDescent="0.2">
      <c r="A17" s="172"/>
      <c r="B17" s="19">
        <v>4</v>
      </c>
      <c r="C17" s="147" t="str">
        <f>IF(FutureDrivers107112117[[#This Row],['#]]="","",_xlfn.XLOOKUP(FutureDrivers107112117[[#This Row],['#]],Drivers[Driv '#],Drivers[Driver Short Name]))</f>
        <v>Regional Economic Development and Industrialization</v>
      </c>
      <c r="D17" s="147" t="str">
        <f>IF(FutureDrivers107112117[[#This Row],['#]]="","",_xlfn.XLOOKUP(FutureDrivers107112117[[#This Row],['#]],Drivers[Driv '#],Drivers[Impact on SE]))</f>
        <v>Strengthens regional military capabilities; increases geopolitical influence; amplifies importance of defense partnerships in maintaining regional stability.</v>
      </c>
      <c r="E17" s="147" t="str">
        <f>IF(FutureDrivers107112117[[#This Row],['#]]="","",_xlfn.XLOOKUP(FutureDrivers107112117[[#This Row],['#]],Drivers[Driv '#],Drivers[Impact on OA and Org]))</f>
        <v>Sustains long-term market opportunity; increases customer sophistication; may drive demand for technology transfer and local production.</v>
      </c>
      <c r="G17" s="172"/>
      <c r="H17" s="142"/>
    </row>
    <row r="18" spans="1:8" ht="16" customHeight="1" x14ac:dyDescent="0.2">
      <c r="A18" s="172"/>
      <c r="B18" s="19">
        <v>5</v>
      </c>
      <c r="C18" s="147" t="str">
        <f>IF(FutureDrivers107112117[[#This Row],['#]]="","",_xlfn.XLOOKUP(FutureDrivers107112117[[#This Row],['#]],Drivers[Driv '#],Drivers[Driver Short Name]))</f>
        <v>Global Supply Chain Volatility</v>
      </c>
      <c r="D18" s="147" t="str">
        <f>IF(FutureDrivers107112117[[#This Row],['#]]="","",_xlfn.XLOOKUP(FutureDrivers107112117[[#This Row],['#]],Drivers[Driv '#],Drivers[Impact on SE]))</f>
        <v>Reshapes global manufacturing networks; accelerates onshoring and friendshoring trends; increases focus on supply chain resilience.</v>
      </c>
      <c r="E18" s="147" t="str">
        <f>IF(FutureDrivers107112117[[#This Row],['#]]="","",_xlfn.XLOOKUP(FutureDrivers107112117[[#This Row],['#]],Drivers[Driv '#],Drivers[Impact on OA and Org]))</f>
        <v>Elevates importance of supplier relationships; drives vertical integration strategies; increases operational complexity and inventory costs.</v>
      </c>
      <c r="G18" s="172"/>
      <c r="H18" s="142"/>
    </row>
    <row r="19" spans="1:8" ht="16" customHeight="1" x14ac:dyDescent="0.2">
      <c r="A19" s="172"/>
      <c r="B19" s="19">
        <v>20</v>
      </c>
      <c r="C19" s="147" t="str">
        <f>IF(FutureDrivers107112117[[#This Row],['#]]="","",_xlfn.XLOOKUP(FutureDrivers107112117[[#This Row],['#]],Drivers[Driv '#],Drivers[Driver Short Name]))</f>
        <v>Extremism and Separatist Movement Persistence</v>
      </c>
      <c r="D19" s="147" t="str">
        <f>IF(FutureDrivers107112117[[#This Row],['#]]="","",_xlfn.XLOOKUP(FutureDrivers107112117[[#This Row],['#]],Drivers[Driv '#],Drivers[Impact on SE]))</f>
        <v>Sustains demand for dual-use security equipment; creates opportunities for police and paramilitary vehicle markets; broadens defense cooperation scope.</v>
      </c>
      <c r="E19" s="147" t="str">
        <f>IF(FutureDrivers107112117[[#This Row],['#]]="","",_xlfn.XLOOKUP(FutureDrivers107112117[[#This Row],['#]],Drivers[Driv '#],Drivers[Impact on OA and Org]))</f>
        <v>Requires engineering adaptations for urban environments and peacekeeping roles; expands addressable market beyond traditional military customers.</v>
      </c>
    </row>
    <row r="20" spans="1:8" ht="16" customHeight="1" x14ac:dyDescent="0.2">
      <c r="A20" s="172"/>
      <c r="B20" s="147"/>
      <c r="C20" s="147" t="str">
        <f>IF(FutureDrivers107112117[[#This Row],['#]]="","",_xlfn.XLOOKUP(FutureDrivers107112117[[#This Row],['#]],Drivers[Driv '#],Drivers[Driver Short Name]))</f>
        <v/>
      </c>
      <c r="D20" s="147" t="str">
        <f>IF(FutureDrivers107112117[[#This Row],['#]]="","",_xlfn.XLOOKUP(FutureDrivers107112117[[#This Row],['#]],Drivers[Driv '#],Drivers[Impact on SE]))</f>
        <v/>
      </c>
      <c r="E20" s="147" t="str">
        <f>IF(FutureDrivers107112117[[#This Row],['#]]="","",_xlfn.XLOOKUP(FutureDrivers107112117[[#This Row],['#]],Drivers[Driv '#],Drivers[Impact on OA and Org]))</f>
        <v/>
      </c>
    </row>
    <row r="21" spans="1:8" ht="16" customHeight="1" x14ac:dyDescent="0.2">
      <c r="A21" s="172"/>
      <c r="B21" s="147"/>
      <c r="C21" s="147" t="str">
        <f>IF(FutureDrivers107112117[[#This Row],['#]]="","",_xlfn.XLOOKUP(FutureDrivers107112117[[#This Row],['#]],Drivers[Driv '#],Drivers[Driver Short Name]))</f>
        <v/>
      </c>
      <c r="D21" s="147" t="str">
        <f>IF(FutureDrivers107112117[[#This Row],['#]]="","",_xlfn.XLOOKUP(FutureDrivers107112117[[#This Row],['#]],Drivers[Driv '#],Drivers[Impact on SE]))</f>
        <v/>
      </c>
      <c r="E21" s="147" t="str">
        <f>IF(FutureDrivers107112117[[#This Row],['#]]="","",_xlfn.XLOOKUP(FutureDrivers107112117[[#This Row],['#]],Drivers[Driv '#],Drivers[Impact on OA and Org]))</f>
        <v/>
      </c>
    </row>
    <row r="22" spans="1:8" ht="16" customHeight="1" x14ac:dyDescent="0.2">
      <c r="A22" s="172"/>
      <c r="B22" s="147"/>
      <c r="C22" s="147" t="str">
        <f>IF(FutureDrivers107112117[[#This Row],['#]]="","",_xlfn.XLOOKUP(FutureDrivers107112117[[#This Row],['#]],Drivers[Driv '#],Drivers[Driver Short Name]))</f>
        <v/>
      </c>
      <c r="D22" s="147" t="str">
        <f>IF(FutureDrivers107112117[[#This Row],['#]]="","",_xlfn.XLOOKUP(FutureDrivers107112117[[#This Row],['#]],Drivers[Driv '#],Drivers[Impact on SE]))</f>
        <v/>
      </c>
      <c r="E22" s="147" t="str">
        <f>IF(FutureDrivers107112117[[#This Row],['#]]="","",_xlfn.XLOOKUP(FutureDrivers107112117[[#This Row],['#]],Drivers[Driv '#],Drivers[Impact on OA and Org]))</f>
        <v/>
      </c>
    </row>
    <row r="23" spans="1:8" ht="16" customHeight="1" x14ac:dyDescent="0.2">
      <c r="A23" s="172"/>
      <c r="B23" s="147"/>
      <c r="C23" s="147" t="str">
        <f>IF(FutureDrivers107112117[[#This Row],['#]]="","",_xlfn.XLOOKUP(FutureDrivers107112117[[#This Row],['#]],Drivers[Driv '#],Drivers[Driver Short Name]))</f>
        <v/>
      </c>
      <c r="D23" s="147" t="str">
        <f>IF(FutureDrivers107112117[[#This Row],['#]]="","",_xlfn.XLOOKUP(FutureDrivers107112117[[#This Row],['#]],Drivers[Driv '#],Drivers[Impact on SE]))</f>
        <v/>
      </c>
      <c r="E23" s="147" t="str">
        <f>IF(FutureDrivers107112117[[#This Row],['#]]="","",_xlfn.XLOOKUP(FutureDrivers107112117[[#This Row],['#]],Drivers[Driv '#],Drivers[Impact on OA and Org]))</f>
        <v/>
      </c>
    </row>
    <row r="24" spans="1:8" ht="16" customHeight="1" x14ac:dyDescent="0.2">
      <c r="A24" s="172"/>
      <c r="B24" s="147"/>
      <c r="C24" s="147" t="str">
        <f>IF(FutureDrivers107112117[[#This Row],['#]]="","",_xlfn.XLOOKUP(FutureDrivers107112117[[#This Row],['#]],Drivers[Driv '#],Drivers[Driver Short Name]))</f>
        <v/>
      </c>
      <c r="D24" s="147" t="str">
        <f>IF(FutureDrivers107112117[[#This Row],['#]]="","",_xlfn.XLOOKUP(FutureDrivers107112117[[#This Row],['#]],Drivers[Driv '#],Drivers[Impact on SE]))</f>
        <v/>
      </c>
      <c r="E24" s="147" t="str">
        <f>IF(FutureDrivers107112117[[#This Row],['#]]="","",_xlfn.XLOOKUP(FutureDrivers107112117[[#This Row],['#]],Drivers[Driv '#],Drivers[Impact on OA and Org]))</f>
        <v/>
      </c>
    </row>
    <row r="25" spans="1:8" ht="16" x14ac:dyDescent="0.2">
      <c r="A25" s="172"/>
      <c r="B25" s="147"/>
      <c r="C25" s="147" t="str">
        <f>IF(FutureDrivers107112117[[#This Row],['#]]="","",_xlfn.XLOOKUP(FutureDrivers107112117[[#This Row],['#]],Drivers[Driv '#],Drivers[Driver Short Name]))</f>
        <v/>
      </c>
      <c r="D25" s="147" t="str">
        <f>IF(FutureDrivers107112117[[#This Row],['#]]="","",_xlfn.XLOOKUP(FutureDrivers107112117[[#This Row],['#]],Drivers[Driv '#],Drivers[Impact on SE]))</f>
        <v/>
      </c>
      <c r="E25" s="147" t="str">
        <f>IF(FutureDrivers107112117[[#This Row],['#]]="","",_xlfn.XLOOKUP(FutureDrivers107112117[[#This Row],['#]],Drivers[Driv '#],Drivers[Impact on OA and Org]))</f>
        <v/>
      </c>
      <c r="F25" s="121"/>
    </row>
    <row r="26" spans="1:8" ht="16" customHeight="1" x14ac:dyDescent="0.2">
      <c r="A26" s="172"/>
      <c r="B26" s="147"/>
      <c r="C26" s="147" t="str">
        <f>IF(FutureDrivers107112117[[#This Row],['#]]="","",_xlfn.XLOOKUP(FutureDrivers107112117[[#This Row],['#]],Drivers[Driv '#],Drivers[Driver Short Name]))</f>
        <v/>
      </c>
      <c r="D26" s="147" t="str">
        <f>IF(FutureDrivers107112117[[#This Row],['#]]="","",_xlfn.XLOOKUP(FutureDrivers107112117[[#This Row],['#]],Drivers[Driv '#],Drivers[Impact on SE]))</f>
        <v/>
      </c>
      <c r="E26" s="147" t="str">
        <f>IF(FutureDrivers107112117[[#This Row],['#]]="","",_xlfn.XLOOKUP(FutureDrivers107112117[[#This Row],['#]],Drivers[Driv '#],Drivers[Impact on OA and Org]))</f>
        <v/>
      </c>
      <c r="F26" s="121"/>
    </row>
    <row r="27" spans="1:8" ht="16" customHeight="1" x14ac:dyDescent="0.2">
      <c r="A27" s="172"/>
      <c r="B27" s="154"/>
      <c r="C27" s="121"/>
      <c r="D27" s="121"/>
      <c r="E27" s="121"/>
      <c r="F27" s="121"/>
    </row>
    <row r="28" spans="1:8" ht="16" x14ac:dyDescent="0.2">
      <c r="A28" s="128" t="s">
        <v>230</v>
      </c>
      <c r="B28" s="164" t="s">
        <v>51</v>
      </c>
      <c r="C28" s="165" t="s">
        <v>52</v>
      </c>
      <c r="D28" s="166" t="s">
        <v>172</v>
      </c>
      <c r="E28" s="120" t="s">
        <v>238</v>
      </c>
      <c r="F28" s="121"/>
    </row>
    <row r="29" spans="1:8" ht="64" x14ac:dyDescent="0.2">
      <c r="A29" s="172"/>
      <c r="B29" s="172" t="s">
        <v>987</v>
      </c>
      <c r="C29" s="135" t="s">
        <v>988</v>
      </c>
      <c r="D29" s="135" t="s">
        <v>989</v>
      </c>
      <c r="E29" s="135" t="s">
        <v>990</v>
      </c>
      <c r="G29" s="223"/>
    </row>
    <row r="30" spans="1:8" ht="64" x14ac:dyDescent="0.2">
      <c r="A30" s="172"/>
      <c r="B30" s="172">
        <v>2030</v>
      </c>
      <c r="C30" s="135" t="s">
        <v>991</v>
      </c>
      <c r="D30" s="135" t="s">
        <v>992</v>
      </c>
      <c r="E30" s="135" t="s">
        <v>993</v>
      </c>
      <c r="G30" s="223"/>
    </row>
    <row r="31" spans="1:8" ht="64" x14ac:dyDescent="0.2">
      <c r="A31" s="172"/>
      <c r="B31" s="172" t="s">
        <v>994</v>
      </c>
      <c r="C31" s="135" t="s">
        <v>995</v>
      </c>
      <c r="D31" s="135" t="s">
        <v>996</v>
      </c>
      <c r="E31" s="135" t="s">
        <v>997</v>
      </c>
      <c r="G31" s="223"/>
    </row>
    <row r="32" spans="1:8" ht="64" x14ac:dyDescent="0.2">
      <c r="A32" s="172"/>
      <c r="B32" s="172">
        <v>2033</v>
      </c>
      <c r="C32" s="135" t="s">
        <v>998</v>
      </c>
      <c r="D32" s="135" t="s">
        <v>999</v>
      </c>
      <c r="E32" s="135" t="s">
        <v>1000</v>
      </c>
      <c r="G32" s="223"/>
    </row>
    <row r="33" spans="1:9" ht="64" x14ac:dyDescent="0.2">
      <c r="A33" s="172"/>
      <c r="B33" s="172">
        <v>2034</v>
      </c>
      <c r="C33" s="135" t="s">
        <v>1001</v>
      </c>
      <c r="D33" s="135" t="s">
        <v>1002</v>
      </c>
      <c r="E33" s="135" t="s">
        <v>1003</v>
      </c>
      <c r="G33" s="223"/>
    </row>
    <row r="34" spans="1:9" ht="80" x14ac:dyDescent="0.2">
      <c r="A34" s="172"/>
      <c r="B34" s="172" t="s">
        <v>960</v>
      </c>
      <c r="C34" s="135" t="s">
        <v>1004</v>
      </c>
      <c r="D34" s="135" t="s">
        <v>1005</v>
      </c>
      <c r="E34" s="135" t="s">
        <v>1006</v>
      </c>
      <c r="G34" s="223"/>
    </row>
    <row r="35" spans="1:9" x14ac:dyDescent="0.2">
      <c r="A35" s="172"/>
      <c r="B35" s="154"/>
      <c r="C35" s="121"/>
      <c r="D35" s="121"/>
      <c r="E35" s="121"/>
      <c r="G35" s="223"/>
    </row>
    <row r="36" spans="1:9" ht="16" x14ac:dyDescent="0.2">
      <c r="A36" s="128" t="s">
        <v>231</v>
      </c>
      <c r="B36" s="167" t="s">
        <v>40</v>
      </c>
      <c r="C36" s="168" t="s">
        <v>246</v>
      </c>
      <c r="D36" s="166" t="s">
        <v>172</v>
      </c>
      <c r="E36" s="169" t="s">
        <v>53</v>
      </c>
      <c r="G36" s="223"/>
    </row>
    <row r="37" spans="1:9" ht="48" x14ac:dyDescent="0.2">
      <c r="A37" s="172"/>
      <c r="B37" s="170">
        <v>1</v>
      </c>
      <c r="C37" s="147" t="s">
        <v>1053</v>
      </c>
      <c r="D37" s="147" t="s">
        <v>1054</v>
      </c>
      <c r="E37" s="147" t="s">
        <v>1055</v>
      </c>
    </row>
    <row r="38" spans="1:9" ht="48" x14ac:dyDescent="0.2">
      <c r="A38" s="172"/>
      <c r="B38" s="170">
        <v>2</v>
      </c>
      <c r="C38" s="147" t="s">
        <v>1056</v>
      </c>
      <c r="D38" s="147" t="s">
        <v>1057</v>
      </c>
      <c r="E38" s="147" t="s">
        <v>1058</v>
      </c>
    </row>
    <row r="39" spans="1:9" ht="48" x14ac:dyDescent="0.2">
      <c r="A39" s="172"/>
      <c r="B39" s="170">
        <v>3</v>
      </c>
      <c r="C39" s="147" t="s">
        <v>1059</v>
      </c>
      <c r="D39" s="147" t="s">
        <v>1060</v>
      </c>
      <c r="E39" s="147" t="s">
        <v>1061</v>
      </c>
      <c r="I39" s="122"/>
    </row>
    <row r="40" spans="1:9" ht="48" x14ac:dyDescent="0.2">
      <c r="A40" s="172"/>
      <c r="B40" s="170">
        <v>4</v>
      </c>
      <c r="C40" s="147" t="s">
        <v>1062</v>
      </c>
      <c r="D40" s="147" t="s">
        <v>1063</v>
      </c>
      <c r="E40" s="147" t="s">
        <v>1064</v>
      </c>
    </row>
    <row r="41" spans="1:9" ht="48" x14ac:dyDescent="0.2">
      <c r="A41" s="172"/>
      <c r="B41" s="170">
        <v>5</v>
      </c>
      <c r="C41" s="147" t="s">
        <v>1065</v>
      </c>
      <c r="D41" s="147" t="s">
        <v>1066</v>
      </c>
      <c r="E41" s="147" t="s">
        <v>1067</v>
      </c>
    </row>
    <row r="42" spans="1:9" ht="48" x14ac:dyDescent="0.2">
      <c r="A42" s="172"/>
      <c r="B42" s="170">
        <v>6</v>
      </c>
      <c r="C42" s="147" t="s">
        <v>1068</v>
      </c>
      <c r="D42" s="147" t="s">
        <v>1069</v>
      </c>
      <c r="E42" s="147" t="s">
        <v>1070</v>
      </c>
    </row>
    <row r="43" spans="1:9" x14ac:dyDescent="0.2">
      <c r="A43" s="172"/>
      <c r="C43" s="142"/>
      <c r="D43" s="142"/>
      <c r="E43" s="142"/>
    </row>
  </sheetData>
  <mergeCells count="15">
    <mergeCell ref="B4:C4"/>
    <mergeCell ref="D4:E4"/>
    <mergeCell ref="B7:C7"/>
    <mergeCell ref="D7:E7"/>
    <mergeCell ref="A1:E1"/>
    <mergeCell ref="B2:C2"/>
    <mergeCell ref="D2:E2"/>
    <mergeCell ref="B3:C3"/>
    <mergeCell ref="D3:E3"/>
    <mergeCell ref="B8:C8"/>
    <mergeCell ref="D8:E8"/>
    <mergeCell ref="B9:C9"/>
    <mergeCell ref="D9:E9"/>
    <mergeCell ref="B6:C6"/>
    <mergeCell ref="D6:E6"/>
  </mergeCells>
  <pageMargins left="0.7" right="0.7" top="0.75" bottom="0.75" header="0.3" footer="0.3"/>
  <pageSetup orientation="portrait" horizontalDpi="0" verticalDpi="0"/>
  <tableParts count="4">
    <tablePart r:id="rId1"/>
    <tablePart r:id="rId2"/>
    <tablePart r:id="rId3"/>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8904BA62-7519-6344-8135-57748A6EC07E}">
          <x14:formula1>
            <xm:f>Lists!$AE$3:$AE$5</xm:f>
          </x14:formula1>
          <xm:sqref>G16:G18</xm:sqref>
        </x14:dataValidation>
        <x14:dataValidation type="list" allowBlank="1" showInputMessage="1" showErrorMessage="1" xr:uid="{5DCCCA28-C190-D448-97BF-051C10B238A2}">
          <x14:formula1>
            <xm:f>Lists!$AR$3:$AR$5</xm:f>
          </x14:formula1>
          <xm:sqref>D3:E3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DC678-74F8-0D4F-AEDD-EB9D8A6F8A60}">
  <sheetPr>
    <tabColor theme="9" tint="-0.499984740745262"/>
  </sheetPr>
  <dimension ref="A1:M50"/>
  <sheetViews>
    <sheetView workbookViewId="0">
      <selection sqref="A1:J1"/>
    </sheetView>
  </sheetViews>
  <sheetFormatPr baseColWidth="10" defaultRowHeight="14" x14ac:dyDescent="0.15"/>
  <cols>
    <col min="1" max="1" width="7.5" style="6" customWidth="1"/>
    <col min="2" max="2" width="35.5" style="6" customWidth="1"/>
    <col min="3" max="3" width="125.1640625" style="6" customWidth="1"/>
    <col min="4" max="6" width="19.6640625" style="6" customWidth="1"/>
    <col min="7" max="9" width="11.33203125" style="6" customWidth="1"/>
    <col min="10" max="10" width="124.5" style="21" customWidth="1"/>
    <col min="11" max="13" width="10" style="6" customWidth="1"/>
    <col min="14" max="16384" width="10.83203125" style="6"/>
  </cols>
  <sheetData>
    <row r="1" spans="1:13" ht="17" x14ac:dyDescent="0.25">
      <c r="A1" s="448" t="s">
        <v>2239</v>
      </c>
      <c r="B1" s="448"/>
      <c r="C1" s="448"/>
      <c r="D1" s="448"/>
      <c r="E1" s="448"/>
      <c r="F1" s="448"/>
      <c r="G1" s="448"/>
      <c r="H1" s="448"/>
      <c r="I1" s="448"/>
      <c r="J1" s="448"/>
    </row>
    <row r="2" spans="1:13" ht="16" customHeight="1" x14ac:dyDescent="0.2">
      <c r="A2" s="470" t="s">
        <v>2240</v>
      </c>
      <c r="B2" s="470"/>
      <c r="C2" s="470"/>
      <c r="D2" s="470"/>
      <c r="E2" s="470"/>
      <c r="F2" s="470"/>
      <c r="G2" s="470"/>
      <c r="H2" s="470"/>
      <c r="I2" s="470"/>
      <c r="J2" s="470"/>
      <c r="K2" s="119"/>
      <c r="L2" s="119"/>
      <c r="M2" s="119"/>
    </row>
    <row r="3" spans="1:13" ht="32" x14ac:dyDescent="0.2">
      <c r="A3" s="250" t="s">
        <v>1341</v>
      </c>
      <c r="B3" s="169" t="s">
        <v>171</v>
      </c>
      <c r="C3" s="169" t="s">
        <v>172</v>
      </c>
      <c r="D3" s="169" t="s">
        <v>170</v>
      </c>
      <c r="E3" s="116" t="s">
        <v>173</v>
      </c>
      <c r="F3" s="201" t="s">
        <v>283</v>
      </c>
      <c r="G3" s="169" t="s">
        <v>328</v>
      </c>
      <c r="H3" s="169" t="s">
        <v>329</v>
      </c>
      <c r="I3" s="175" t="s">
        <v>326</v>
      </c>
      <c r="J3" s="390" t="s">
        <v>1076</v>
      </c>
      <c r="K3" s="119"/>
      <c r="L3" s="119"/>
      <c r="M3" s="119"/>
    </row>
    <row r="4" spans="1:13" ht="45" x14ac:dyDescent="0.2">
      <c r="A4" s="249">
        <f>_xlfn.XLOOKUP(SWOT[[#This Row],[Category]],SWOT_Category[Category],SWOT_Category['#])</f>
        <v>1</v>
      </c>
      <c r="B4" s="252" t="s">
        <v>1295</v>
      </c>
      <c r="C4" s="249" t="s">
        <v>1313</v>
      </c>
      <c r="D4" s="249" t="s">
        <v>16</v>
      </c>
      <c r="E4" s="249" t="s">
        <v>1316</v>
      </c>
      <c r="F4" s="249" t="s">
        <v>284</v>
      </c>
      <c r="G4" s="249">
        <v>3</v>
      </c>
      <c r="H4" s="249">
        <v>3</v>
      </c>
      <c r="I4" s="256">
        <f>IF(AND(SWOT[[#This Row],[Value / Impact]]&lt;&gt;"",SWOT[[#This Row],[Power / Probability]]&lt;&gt;""),G4*H4,"")</f>
        <v>9</v>
      </c>
      <c r="J4" s="249" t="str">
        <f>SWOT[[#This Row],[Item]]&amp;": "&amp;SWOT[[#This Row],[Description]]&amp;" ("&amp;SWOT[[#This Row],[Origination (Source) of Item]]&amp;")"&amp;" (Total Score: "&amp;SWOT[[#This Row],[Total Score]]&amp;")"</f>
        <v>Advanced Armor Technology Development: The research and development team innovates armor compositions, blast-deflection geometries, and survivability systems to achieve technological leadership that provides U.S. service members with superior protection against evolving battlefield threats. (CBA Initial Inventory) (Total Score: 9)</v>
      </c>
      <c r="K4" s="119"/>
      <c r="L4" s="119"/>
      <c r="M4" s="119"/>
    </row>
    <row r="5" spans="1:13" ht="45" x14ac:dyDescent="0.2">
      <c r="A5" s="244">
        <f>_xlfn.XLOOKUP(SWOT[[#This Row],[Category]],SWOT_Category[Category],SWOT_Category['#])</f>
        <v>1</v>
      </c>
      <c r="B5" s="57" t="s">
        <v>1297</v>
      </c>
      <c r="C5" s="244" t="s">
        <v>1311</v>
      </c>
      <c r="D5" s="244" t="s">
        <v>16</v>
      </c>
      <c r="E5" s="244" t="s">
        <v>1316</v>
      </c>
      <c r="F5" s="244" t="s">
        <v>284</v>
      </c>
      <c r="G5" s="244">
        <v>3</v>
      </c>
      <c r="H5" s="244">
        <v>2</v>
      </c>
      <c r="I5" s="245">
        <f>IF(AND(SWOT[[#This Row],[Value / Impact]]&lt;&gt;"",SWOT[[#This Row],[Power / Probability]]&lt;&gt;""),G5*H5,"")</f>
        <v>6</v>
      </c>
      <c r="J5" s="244" t="str">
        <f>SWOT[[#This Row],[Item]]&amp;": "&amp;SWOT[[#This Row],[Description]]&amp;" ("&amp;SWOT[[#This Row],[Origination (Source) of Item]]&amp;")"&amp;" (Total Score: "&amp;SWOT[[#This Row],[Total Score]]&amp;")"</f>
        <v>Integrated Lethality Systems Development: The weapons integration team designs and integrates firearm mounts, fire control systems, ammunition storage, and targeting capabilities to achieve superior offensive capability that enables U.S. forces to engage and defeat enemy threats effectively from armored platforms. (CBA Initial Inventory) (Total Score: 6)</v>
      </c>
      <c r="K5" s="119"/>
      <c r="L5" s="119"/>
      <c r="M5" s="119"/>
    </row>
    <row r="6" spans="1:13" ht="45" x14ac:dyDescent="0.2">
      <c r="A6" s="244">
        <f>_xlfn.XLOOKUP(SWOT[[#This Row],[Category]],SWOT_Category[Category],SWOT_Category['#])</f>
        <v>1</v>
      </c>
      <c r="B6" s="57" t="s">
        <v>1299</v>
      </c>
      <c r="C6" s="244" t="s">
        <v>1342</v>
      </c>
      <c r="D6" s="244" t="s">
        <v>16</v>
      </c>
      <c r="E6" s="244" t="s">
        <v>1316</v>
      </c>
      <c r="F6" s="244" t="s">
        <v>593</v>
      </c>
      <c r="G6" s="244">
        <v>3</v>
      </c>
      <c r="H6" s="244">
        <v>2</v>
      </c>
      <c r="I6" s="245">
        <f>IF(AND(SWOT[[#This Row],[Value / Impact]]&lt;&gt;"",SWOT[[#This Row],[Power / Probability]]&lt;&gt;""),G6*H6,"")</f>
        <v>6</v>
      </c>
      <c r="J6" s="244" t="str">
        <f>SWOT[[#This Row],[Item]]&amp;": "&amp;SWOT[[#This Row],[Description]]&amp;" ("&amp;SWOT[[#This Row],[Origination (Source) of Item]]&amp;")"&amp;" (Total Score: "&amp;SWOT[[#This Row],[Total Score]]&amp;")"</f>
        <v>Skilled Workforce Development and Retention: The human resources team recruits, trains, and retains specialized American welders, machinists, engineers, and manufacturing technicians to achieve workforce stability that maintains production quality and institutional knowledge critical to defense manufacturing excellence. (CBA Initial Inventory) (Total Score: 6)</v>
      </c>
      <c r="K6" s="119"/>
      <c r="L6" s="119"/>
      <c r="M6" s="119"/>
    </row>
    <row r="7" spans="1:13" ht="45" x14ac:dyDescent="0.2">
      <c r="A7" s="244">
        <f>_xlfn.XLOOKUP(SWOT[[#This Row],[Category]],SWOT_Category[Category],SWOT_Category['#])</f>
        <v>1</v>
      </c>
      <c r="B7" s="57" t="s">
        <v>1290</v>
      </c>
      <c r="C7" s="244" t="s">
        <v>1291</v>
      </c>
      <c r="D7" s="244" t="s">
        <v>16</v>
      </c>
      <c r="E7" s="244" t="s">
        <v>1316</v>
      </c>
      <c r="F7" s="244" t="s">
        <v>284</v>
      </c>
      <c r="G7" s="244">
        <v>2</v>
      </c>
      <c r="H7" s="244">
        <v>2</v>
      </c>
      <c r="I7" s="245">
        <f>IF(AND(SWOT[[#This Row],[Value / Impact]]&lt;&gt;"",SWOT[[#This Row],[Power / Probability]]&lt;&gt;""),G7*H7,"")</f>
        <v>4</v>
      </c>
      <c r="J7" s="244" t="str">
        <f>SWOT[[#This Row],[Item]]&amp;": "&amp;SWOT[[#This Row],[Description]]&amp;" ("&amp;SWOT[[#This Row],[Origination (Source) of Item]]&amp;")"&amp;" (Total Score: "&amp;SWOT[[#This Row],[Total Score]]&amp;")"</f>
        <v>Temperate Climate Vehicle Engineering: The engineering team wants to design, develop, and test armored vehicles optimized for North American and European operational environments to achieve superior lethality and survivability in temperate climates where U.S. forces and NATO allies primarily operate. (CBA Initial Inventory) (Total Score: 4)</v>
      </c>
      <c r="K7" s="119"/>
      <c r="L7" s="119"/>
      <c r="M7" s="119"/>
    </row>
    <row r="8" spans="1:13" ht="45" x14ac:dyDescent="0.2">
      <c r="A8" s="244">
        <f>_xlfn.XLOOKUP(SWOT[[#This Row],[Category]],SWOT_Category[Category],SWOT_Category['#])</f>
        <v>1</v>
      </c>
      <c r="B8" s="57" t="s">
        <v>1292</v>
      </c>
      <c r="C8" s="244" t="s">
        <v>1306</v>
      </c>
      <c r="D8" s="244" t="s">
        <v>16</v>
      </c>
      <c r="E8" s="244" t="s">
        <v>1316</v>
      </c>
      <c r="F8" s="244" t="s">
        <v>284</v>
      </c>
      <c r="G8" s="244">
        <v>2</v>
      </c>
      <c r="H8" s="244">
        <v>2</v>
      </c>
      <c r="I8" s="245">
        <f>IF(AND(SWOT[[#This Row],[Value / Impact]]&lt;&gt;"",SWOT[[#This Row],[Power / Probability]]&lt;&gt;""),G8*H8,"")</f>
        <v>4</v>
      </c>
      <c r="J8" s="244" t="str">
        <f>SWOT[[#This Row],[Item]]&amp;": "&amp;SWOT[[#This Row],[Description]]&amp;" ("&amp;SWOT[[#This Row],[Origination (Source) of Item]]&amp;")"&amp;" (Total Score: "&amp;SWOT[[#This Row],[Total Score]]&amp;")"</f>
        <v>Domestic Manufacturing Operations: The production operations team manufactures military vehicles using American skilled labor, domestic supply chains, and proven assembly processes to achieve consistent quality and on-time delivery for U.S. military contracts from the Detroit facility. (CBA Initial Inventory) (Total Score: 4)</v>
      </c>
      <c r="K8" s="119"/>
      <c r="L8" s="119"/>
      <c r="M8" s="119"/>
    </row>
    <row r="9" spans="1:13" ht="45" x14ac:dyDescent="0.2">
      <c r="A9" s="244">
        <f>_xlfn.XLOOKUP(SWOT[[#This Row],[Category]],SWOT_Category[Category],SWOT_Category['#])</f>
        <v>1</v>
      </c>
      <c r="B9" s="57" t="s">
        <v>1298</v>
      </c>
      <c r="C9" s="244" t="s">
        <v>1310</v>
      </c>
      <c r="D9" s="244" t="s">
        <v>16</v>
      </c>
      <c r="E9" s="244" t="s">
        <v>1316</v>
      </c>
      <c r="F9" s="244" t="s">
        <v>593</v>
      </c>
      <c r="G9" s="244">
        <v>2</v>
      </c>
      <c r="H9" s="244">
        <v>2</v>
      </c>
      <c r="I9" s="245">
        <f>IF(AND(SWOT[[#This Row],[Value / Impact]]&lt;&gt;"",SWOT[[#This Row],[Power / Probability]]&lt;&gt;""),G9*H9,"")</f>
        <v>4</v>
      </c>
      <c r="J9" s="244" t="str">
        <f>SWOT[[#This Row],[Item]]&amp;": "&amp;SWOT[[#This Row],[Description]]&amp;" ("&amp;SWOT[[#This Row],[Origination (Source) of Item]]&amp;")"&amp;" (Total Score: "&amp;SWOT[[#This Row],[Total Score]]&amp;")"</f>
        <v>Defense Supply Chain Management: The procurement team wants to source specialized American armor steel, ballistic materials, powertrains, and components from qualified domestic suppliers to achieve reliable material availability that supports consistent production schedules for U.S. military contracts. (CBA Initial Inventory) (Total Score: 4)</v>
      </c>
      <c r="K9" s="119"/>
      <c r="L9" s="119"/>
      <c r="M9" s="119"/>
    </row>
    <row r="10" spans="1:13" ht="45" x14ac:dyDescent="0.2">
      <c r="A10" s="244">
        <f>_xlfn.XLOOKUP(SWOT[[#This Row],[Category]],SWOT_Category[Category],SWOT_Category['#])</f>
        <v>1</v>
      </c>
      <c r="B10" s="57" t="s">
        <v>1300</v>
      </c>
      <c r="C10" s="244" t="s">
        <v>1312</v>
      </c>
      <c r="D10" s="244" t="s">
        <v>16</v>
      </c>
      <c r="E10" s="244" t="s">
        <v>1316</v>
      </c>
      <c r="F10" s="244" t="s">
        <v>284</v>
      </c>
      <c r="G10" s="244">
        <v>2</v>
      </c>
      <c r="H10" s="244">
        <v>2</v>
      </c>
      <c r="I10" s="245">
        <f>IF(AND(SWOT[[#This Row],[Value / Impact]]&lt;&gt;"",SWOT[[#This Row],[Power / Probability]]&lt;&gt;""),G10*H10,"")</f>
        <v>4</v>
      </c>
      <c r="J10" s="244" t="str">
        <f>SWOT[[#This Row],[Item]]&amp;": "&amp;SWOT[[#This Row],[Description]]&amp;" ("&amp;SWOT[[#This Row],[Origination (Source) of Item]]&amp;")"&amp;" (Total Score: "&amp;SWOT[[#This Row],[Total Score]]&amp;")"</f>
        <v>Mobility and Powertrain Engineering: The powertrain engineering team designs and optimizes engine systems, transmissions, suspension, and drivetrain components to achieve superior mobility that enables U.S. forces to maneuver effectively across diverse North American and European terrain. (CBA Initial Inventory) (Total Score: 4)</v>
      </c>
      <c r="K10" s="119"/>
      <c r="L10" s="119"/>
      <c r="M10" s="119"/>
    </row>
    <row r="11" spans="1:13" ht="45" x14ac:dyDescent="0.2">
      <c r="A11" s="244">
        <f>_xlfn.XLOOKUP(SWOT[[#This Row],[Category]],SWOT_Category[Category],SWOT_Category['#])</f>
        <v>1</v>
      </c>
      <c r="B11" s="57" t="s">
        <v>1301</v>
      </c>
      <c r="C11" s="244" t="s">
        <v>1302</v>
      </c>
      <c r="D11" s="244" t="s">
        <v>16</v>
      </c>
      <c r="E11" s="244" t="s">
        <v>1316</v>
      </c>
      <c r="F11" s="244" t="s">
        <v>284</v>
      </c>
      <c r="G11" s="244">
        <v>2</v>
      </c>
      <c r="H11" s="244">
        <v>2</v>
      </c>
      <c r="I11" s="245">
        <f>IF(AND(SWOT[[#This Row],[Value / Impact]]&lt;&gt;"",SWOT[[#This Row],[Power / Probability]]&lt;&gt;""),G11*H11,"")</f>
        <v>4</v>
      </c>
      <c r="J11" s="244" t="str">
        <f>SWOT[[#This Row],[Item]]&amp;": "&amp;SWOT[[#This Row],[Description]]&amp;" ("&amp;SWOT[[#This Row],[Origination (Source) of Item]]&amp;")"&amp;" (Total Score: "&amp;SWOT[[#This Row],[Total Score]]&amp;")"</f>
        <v>Prototype Development and Testing: The advanced programs team wants to rapidly design, fabricate, and validate prototype vehicles for competitive bid proposals and technology demonstrations to achieve speed-to-market that wins new U.S. military program awards against competitor offerings. (CBA Initial Inventory) (Total Score: 4)</v>
      </c>
      <c r="K11" s="119"/>
      <c r="L11" s="119"/>
      <c r="M11" s="119"/>
    </row>
    <row r="12" spans="1:13" ht="19" customHeight="1" x14ac:dyDescent="0.2">
      <c r="A12" s="244">
        <f>_xlfn.XLOOKUP(SWOT[[#This Row],[Category]],SWOT_Category[Category],SWOT_Category['#])</f>
        <v>2</v>
      </c>
      <c r="B12" s="57" t="s">
        <v>1320</v>
      </c>
      <c r="C12" s="244" t="s">
        <v>1331</v>
      </c>
      <c r="D12" s="244" t="s">
        <v>14</v>
      </c>
      <c r="E12" s="240" t="s">
        <v>1321</v>
      </c>
      <c r="F12" s="244" t="s">
        <v>285</v>
      </c>
      <c r="G12" s="244">
        <v>3</v>
      </c>
      <c r="H12" s="244">
        <v>3</v>
      </c>
      <c r="I12" s="245">
        <f>IF(AND(SWOT[[#This Row],[Value / Impact]]&lt;&gt;"",SWOT[[#This Row],[Power / Probability]]&lt;&gt;""),G12*H12,"")</f>
        <v>9</v>
      </c>
      <c r="J12" s="244" t="str">
        <f>SWOT[[#This Row],[Item]]&amp;": "&amp;SWOT[[#This Row],[Description]]&amp;" ("&amp;SWOT[[#This Row],[Origination (Source) of Item]]&amp;")"&amp;" (Total Score: "&amp;SWOT[[#This Row],[Total Score]]&amp;")"</f>
        <v>Limited Tropical Engineering: Lacks proven tropical climate vehicle designs and validation testing for demanding Southeast Asian operational environments and conditions. (SWOT Analysis) (Total Score: 9)</v>
      </c>
      <c r="K12" s="119"/>
      <c r="L12" s="119"/>
      <c r="M12" s="119"/>
    </row>
    <row r="13" spans="1:13" ht="19" customHeight="1" x14ac:dyDescent="0.2">
      <c r="A13" s="244">
        <f>_xlfn.XLOOKUP(SWOT[[#This Row],[Category]],SWOT_Category[Category],SWOT_Category['#])</f>
        <v>2</v>
      </c>
      <c r="B13" s="57" t="s">
        <v>1322</v>
      </c>
      <c r="C13" s="244" t="s">
        <v>1332</v>
      </c>
      <c r="D13" s="244" t="s">
        <v>14</v>
      </c>
      <c r="E13" s="240" t="s">
        <v>1321</v>
      </c>
      <c r="F13" s="244" t="s">
        <v>285</v>
      </c>
      <c r="G13" s="244">
        <v>3</v>
      </c>
      <c r="H13" s="244">
        <v>3</v>
      </c>
      <c r="I13" s="245">
        <f>IF(AND(SWOT[[#This Row],[Value / Impact]]&lt;&gt;"",SWOT[[#This Row],[Power / Probability]]&lt;&gt;""),G13*H13,"")</f>
        <v>9</v>
      </c>
      <c r="J13" s="244" t="str">
        <f>SWOT[[#This Row],[Item]]&amp;": "&amp;SWOT[[#This Row],[Description]]&amp;" ("&amp;SWOT[[#This Row],[Origination (Source) of Item]]&amp;")"&amp;" (Total Score: "&amp;SWOT[[#This Row],[Total Score]]&amp;")"</f>
        <v>Southeast Asian Market Inexperience: No established relationships, cultural understanding, or procurement process knowledge in target Southeast Asian defense markets currently. (SWOT Analysis) (Total Score: 9)</v>
      </c>
      <c r="K13" s="119"/>
      <c r="L13" s="119"/>
      <c r="M13" s="119"/>
    </row>
    <row r="14" spans="1:13" ht="19" customHeight="1" x14ac:dyDescent="0.2">
      <c r="A14" s="244">
        <f>_xlfn.XLOOKUP(SWOT[[#This Row],[Category]],SWOT_Category[Category],SWOT_Category['#])</f>
        <v>2</v>
      </c>
      <c r="B14" s="57" t="s">
        <v>1323</v>
      </c>
      <c r="C14" s="244" t="s">
        <v>1333</v>
      </c>
      <c r="D14" s="244" t="s">
        <v>14</v>
      </c>
      <c r="E14" s="240" t="s">
        <v>1321</v>
      </c>
      <c r="F14" s="244" t="s">
        <v>285</v>
      </c>
      <c r="G14" s="244">
        <v>3</v>
      </c>
      <c r="H14" s="244">
        <v>3</v>
      </c>
      <c r="I14" s="245">
        <f>IF(AND(SWOT[[#This Row],[Value / Impact]]&lt;&gt;"",SWOT[[#This Row],[Power / Probability]]&lt;&gt;""),G14*H14,"")</f>
        <v>9</v>
      </c>
      <c r="J14" s="244" t="str">
        <f>SWOT[[#This Row],[Item]]&amp;": "&amp;SWOT[[#This Row],[Description]]&amp;" ("&amp;SWOT[[#This Row],[Origination (Source) of Item]]&amp;")"&amp;" (Total Score: "&amp;SWOT[[#This Row],[Total Score]]&amp;")"</f>
        <v>Single-Market Revenue Dependency: Heavy 85% revenue concentration in U.S. DoD contracts creates significant vulnerability to forecasted domestic budget cuts and reductions. (SWOT Analysis) (Total Score: 9)</v>
      </c>
      <c r="K14" s="119"/>
      <c r="L14" s="119"/>
      <c r="M14" s="119"/>
    </row>
    <row r="15" spans="1:13" ht="19" customHeight="1" x14ac:dyDescent="0.2">
      <c r="A15" s="244">
        <f>_xlfn.XLOOKUP(SWOT[[#This Row],[Category]],SWOT_Category[Category],SWOT_Category['#])</f>
        <v>2</v>
      </c>
      <c r="B15" s="57" t="s">
        <v>1324</v>
      </c>
      <c r="C15" s="244" t="s">
        <v>1334</v>
      </c>
      <c r="D15" s="244" t="s">
        <v>14</v>
      </c>
      <c r="E15" s="240" t="s">
        <v>1321</v>
      </c>
      <c r="F15" s="244" t="s">
        <v>285</v>
      </c>
      <c r="G15" s="244">
        <v>3</v>
      </c>
      <c r="H15" s="244">
        <v>3</v>
      </c>
      <c r="I15" s="245">
        <f>IF(AND(SWOT[[#This Row],[Value / Impact]]&lt;&gt;"",SWOT[[#This Row],[Power / Probability]]&lt;&gt;""),G15*H15,"")</f>
        <v>9</v>
      </c>
      <c r="J15" s="244" t="str">
        <f>SWOT[[#This Row],[Item]]&amp;": "&amp;SWOT[[#This Row],[Description]]&amp;" ("&amp;SWOT[[#This Row],[Origination (Source) of Item]]&amp;")"&amp;" (Total Score: "&amp;SWOT[[#This Row],[Total Score]]&amp;")"</f>
        <v>Constrained Production Capacity: Current facility designed for only 500 vehicles annually limits dual-market scalability without major capital investment and expansion efforts. (SWOT Analysis) (Total Score: 9)</v>
      </c>
      <c r="K15" s="119"/>
      <c r="L15" s="119"/>
      <c r="M15" s="119"/>
    </row>
    <row r="16" spans="1:13" ht="19" customHeight="1" x14ac:dyDescent="0.2">
      <c r="A16" s="244">
        <f>_xlfn.XLOOKUP(SWOT[[#This Row],[Category]],SWOT_Category[Category],SWOT_Category['#])</f>
        <v>2</v>
      </c>
      <c r="B16" s="57" t="s">
        <v>1327</v>
      </c>
      <c r="C16" s="244" t="s">
        <v>1337</v>
      </c>
      <c r="D16" s="244" t="s">
        <v>14</v>
      </c>
      <c r="E16" s="240" t="s">
        <v>1321</v>
      </c>
      <c r="F16" s="244" t="s">
        <v>285</v>
      </c>
      <c r="G16" s="244">
        <v>3</v>
      </c>
      <c r="H16" s="244">
        <v>3</v>
      </c>
      <c r="I16" s="245">
        <f>IF(AND(SWOT[[#This Row],[Value / Impact]]&lt;&gt;"",SWOT[[#This Row],[Power / Probability]]&lt;&gt;""),G16*H16,"")</f>
        <v>9</v>
      </c>
      <c r="J16" s="244" t="str">
        <f>SWOT[[#This Row],[Item]]&amp;": "&amp;SWOT[[#This Row],[Description]]&amp;" ("&amp;SWOT[[#This Row],[Origination (Source) of Item]]&amp;")"&amp;" (Total Score: "&amp;SWOT[[#This Row],[Total Score]]&amp;")"</f>
        <v>Partnership Development Skills Gap: No proven capability or experience establishing joint ventures or technology-sharing agreements required for Southeast Asian offset requirements. (SWOT Analysis) (Total Score: 9)</v>
      </c>
      <c r="K16" s="119"/>
      <c r="L16" s="119"/>
      <c r="M16" s="119"/>
    </row>
    <row r="17" spans="1:13" ht="19" customHeight="1" x14ac:dyDescent="0.2">
      <c r="A17" s="244">
        <f>_xlfn.XLOOKUP(SWOT[[#This Row],[Category]],SWOT_Category[Category],SWOT_Category['#])</f>
        <v>2</v>
      </c>
      <c r="B17" s="57" t="s">
        <v>1329</v>
      </c>
      <c r="C17" s="244" t="s">
        <v>1339</v>
      </c>
      <c r="D17" s="244" t="s">
        <v>14</v>
      </c>
      <c r="E17" s="240" t="s">
        <v>1321</v>
      </c>
      <c r="F17" s="244" t="s">
        <v>285</v>
      </c>
      <c r="G17" s="244">
        <v>3</v>
      </c>
      <c r="H17" s="244">
        <v>3</v>
      </c>
      <c r="I17" s="245">
        <f>IF(AND(SWOT[[#This Row],[Value / Impact]]&lt;&gt;"",SWOT[[#This Row],[Power / Probability]]&lt;&gt;""),G17*H17,"")</f>
        <v>9</v>
      </c>
      <c r="J17" s="244" t="str">
        <f>SWOT[[#This Row],[Item]]&amp;": "&amp;SWOT[[#This Row],[Description]]&amp;" ("&amp;SWOT[[#This Row],[Origination (Source) of Item]]&amp;")"&amp;" (Total Score: "&amp;SWOT[[#This Row],[Total Score]]&amp;")"</f>
        <v>Financial Resources Constraint: Limited capital availability forces difficult trade-offs between market development initiatives, critical R&amp;D investments, and essential automation upgrades. (SWOT Analysis) (Total Score: 9)</v>
      </c>
      <c r="K17" s="119"/>
      <c r="L17" s="119"/>
      <c r="M17" s="119"/>
    </row>
    <row r="18" spans="1:13" ht="19" customHeight="1" x14ac:dyDescent="0.2">
      <c r="A18" s="244">
        <f>_xlfn.XLOOKUP(SWOT[[#This Row],[Category]],SWOT_Category[Category],SWOT_Category['#])</f>
        <v>2</v>
      </c>
      <c r="B18" s="57" t="s">
        <v>1325</v>
      </c>
      <c r="C18" s="244" t="s">
        <v>1335</v>
      </c>
      <c r="D18" s="244" t="s">
        <v>14</v>
      </c>
      <c r="E18" s="240" t="s">
        <v>1321</v>
      </c>
      <c r="F18" s="244" t="s">
        <v>285</v>
      </c>
      <c r="G18" s="244">
        <v>3</v>
      </c>
      <c r="H18" s="244">
        <v>2</v>
      </c>
      <c r="I18" s="245">
        <f>IF(AND(SWOT[[#This Row],[Value / Impact]]&lt;&gt;"",SWOT[[#This Row],[Power / Probability]]&lt;&gt;""),G18*H18,"")</f>
        <v>6</v>
      </c>
      <c r="J18" s="244" t="str">
        <f>SWOT[[#This Row],[Item]]&amp;": "&amp;SWOT[[#This Row],[Description]]&amp;" ("&amp;SWOT[[#This Row],[Origination (Source) of Item]]&amp;")"&amp;" (Total Score: "&amp;SWOT[[#This Row],[Total Score]]&amp;")"</f>
        <v>Export Licensing Inexperience: Minimal ITAR and FMS regulatory experience creates significant delays navigating complex Southeast Asian export approval processes and requirements. (SWOT Analysis) (Total Score: 6)</v>
      </c>
      <c r="K18" s="119"/>
      <c r="L18" s="119"/>
      <c r="M18" s="119"/>
    </row>
    <row r="19" spans="1:13" ht="34" customHeight="1" x14ac:dyDescent="0.2">
      <c r="A19" s="244">
        <f>_xlfn.XLOOKUP(SWOT[[#This Row],[Category]],SWOT_Category[Category],SWOT_Category['#])</f>
        <v>2</v>
      </c>
      <c r="B19" s="57" t="s">
        <v>1326</v>
      </c>
      <c r="C19" s="244" t="s">
        <v>1336</v>
      </c>
      <c r="D19" s="244" t="s">
        <v>14</v>
      </c>
      <c r="E19" s="240" t="s">
        <v>1321</v>
      </c>
      <c r="F19" s="244" t="s">
        <v>285</v>
      </c>
      <c r="G19" s="244">
        <v>3</v>
      </c>
      <c r="H19" s="244">
        <v>2</v>
      </c>
      <c r="I19" s="245">
        <f>IF(AND(SWOT[[#This Row],[Value / Impact]]&lt;&gt;"",SWOT[[#This Row],[Power / Probability]]&lt;&gt;""),G19*H19,"")</f>
        <v>6</v>
      </c>
      <c r="J19" s="244" t="str">
        <f>SWOT[[#This Row],[Item]]&amp;": "&amp;SWOT[[#This Row],[Description]]&amp;" ("&amp;SWOT[[#This Row],[Origination (Source) of Item]]&amp;")"&amp;" (Total Score: "&amp;SWOT[[#This Row],[Total Score]]&amp;")"</f>
        <v>Limited Automation Capability: Labor-intensive manufacturing processes constrain cost competitiveness and production flexibility needed for simultaneous multi-market operations and scalability demands. (SWOT Analysis) (Total Score: 6)</v>
      </c>
      <c r="K19" s="119"/>
      <c r="L19" s="119"/>
      <c r="M19" s="119"/>
    </row>
    <row r="20" spans="1:13" ht="19" customHeight="1" x14ac:dyDescent="0.2">
      <c r="A20" s="244">
        <f>_xlfn.XLOOKUP(SWOT[[#This Row],[Category]],SWOT_Category[Category],SWOT_Category['#])</f>
        <v>2</v>
      </c>
      <c r="B20" s="57" t="s">
        <v>1328</v>
      </c>
      <c r="C20" s="244" t="s">
        <v>1338</v>
      </c>
      <c r="D20" s="244" t="s">
        <v>14</v>
      </c>
      <c r="E20" s="240" t="s">
        <v>1321</v>
      </c>
      <c r="F20" s="244" t="s">
        <v>285</v>
      </c>
      <c r="G20" s="244">
        <v>3</v>
      </c>
      <c r="H20" s="244">
        <v>2</v>
      </c>
      <c r="I20" s="245">
        <f>IF(AND(SWOT[[#This Row],[Value / Impact]]&lt;&gt;"",SWOT[[#This Row],[Power / Probability]]&lt;&gt;""),G20*H20,"")</f>
        <v>6</v>
      </c>
      <c r="J20" s="244" t="str">
        <f>SWOT[[#This Row],[Item]]&amp;": "&amp;SWOT[[#This Row],[Description]]&amp;" ("&amp;SWOT[[#This Row],[Origination (Source) of Item]]&amp;")"&amp;" (Total Score: "&amp;SWOT[[#This Row],[Total Score]]&amp;")"</f>
        <v>Workforce Cultural Competency: American workforce lacks language skills and cultural understanding necessary for effective Southeast Asian relationship-building and market penetration. (SWOT Analysis) (Total Score: 6)</v>
      </c>
      <c r="K20" s="119"/>
      <c r="L20" s="119"/>
      <c r="M20" s="119"/>
    </row>
    <row r="21" spans="1:13" ht="19" customHeight="1" x14ac:dyDescent="0.2">
      <c r="A21" s="244">
        <f>_xlfn.XLOOKUP(SWOT[[#This Row],[Category]],SWOT_Category[Category],SWOT_Category['#])</f>
        <v>2</v>
      </c>
      <c r="B21" s="57" t="s">
        <v>1330</v>
      </c>
      <c r="C21" s="244" t="s">
        <v>1340</v>
      </c>
      <c r="D21" s="244" t="s">
        <v>14</v>
      </c>
      <c r="E21" s="239" t="s">
        <v>1321</v>
      </c>
      <c r="F21" s="244" t="s">
        <v>285</v>
      </c>
      <c r="G21" s="244">
        <v>3</v>
      </c>
      <c r="H21" s="244">
        <v>2</v>
      </c>
      <c r="I21" s="245">
        <f>IF(AND(SWOT[[#This Row],[Value / Impact]]&lt;&gt;"",SWOT[[#This Row],[Power / Probability]]&lt;&gt;""),G21*H21,"")</f>
        <v>6</v>
      </c>
      <c r="J21" s="244" t="str">
        <f>SWOT[[#This Row],[Item]]&amp;": "&amp;SWOT[[#This Row],[Description]]&amp;" ("&amp;SWOT[[#This Row],[Origination (Source) of Item]]&amp;")"&amp;" (Total Score: "&amp;SWOT[[#This Row],[Total Score]]&amp;")"</f>
        <v>Cybersecurity Infrastructure: Basic cyber defenses remain insufficient against sophisticated nation-state threats targeting proprietary technologies, manufacturing processes, and supply chains. (SWOT Analysis) (Total Score: 6)</v>
      </c>
      <c r="K21" s="119"/>
      <c r="L21" s="119"/>
      <c r="M21" s="119"/>
    </row>
    <row r="22" spans="1:13" ht="48" x14ac:dyDescent="0.2">
      <c r="A22" s="244">
        <f>_xlfn.XLOOKUP(SWOT[[#This Row],[Category]],SWOT_Category[Category],SWOT_Category['#])</f>
        <v>3</v>
      </c>
      <c r="B22" s="238" t="s">
        <v>1220</v>
      </c>
      <c r="C22" s="239" t="s">
        <v>1232</v>
      </c>
      <c r="D22" s="240" t="s">
        <v>323</v>
      </c>
      <c r="E22" s="240" t="s">
        <v>433</v>
      </c>
      <c r="F22" s="241"/>
      <c r="G22" s="240">
        <v>3</v>
      </c>
      <c r="H22" s="240">
        <v>3</v>
      </c>
      <c r="I22" s="242">
        <f>IF(AND(SWOT[[#This Row],[Value / Impact]]&lt;&gt;"",SWOT[[#This Row],[Power / Probability]]&lt;&gt;""),G22*H22,"")</f>
        <v>9</v>
      </c>
      <c r="J22" s="244" t="str">
        <f>SWOT[[#This Row],[Item]]&amp;": "&amp;SWOT[[#This Row],[Description]]&amp;" ("&amp;SWOT[[#This Row],[Origination (Source) of Item]]&amp;")"&amp;" (Total Score: "&amp;SWOT[[#This Row],[Total Score]]&amp;")"</f>
        <v>Specialization Leadership: Ability to establish market dominance through tropical engineering expertise and climate-hardened systems that competitors currently lack as core capabilities, creating defensible competitive advantages that justify premium pricing and accelerate relationship-building in Southeast Asian markets where environmental performance proves critical. (OA Analysis) (Total Score: 9)</v>
      </c>
      <c r="K22" s="119"/>
      <c r="L22" s="119"/>
      <c r="M22" s="119"/>
    </row>
    <row r="23" spans="1:13" ht="45" x14ac:dyDescent="0.2">
      <c r="A23" s="244">
        <f>_xlfn.XLOOKUP(SWOT[[#This Row],[Category]],SWOT_Category[Category],SWOT_Category['#])</f>
        <v>3</v>
      </c>
      <c r="B23" s="238" t="s">
        <v>1221</v>
      </c>
      <c r="C23" s="239" t="s">
        <v>1233</v>
      </c>
      <c r="D23" s="240" t="s">
        <v>323</v>
      </c>
      <c r="E23" s="240" t="s">
        <v>433</v>
      </c>
      <c r="F23" s="241"/>
      <c r="G23" s="240">
        <v>3</v>
      </c>
      <c r="H23" s="240">
        <v>3</v>
      </c>
      <c r="I23" s="242">
        <f>IF(AND(SWOT[[#This Row],[Value / Impact]]&lt;&gt;"",SWOT[[#This Row],[Power / Probability]]&lt;&gt;""),G23*H23,"")</f>
        <v>9</v>
      </c>
      <c r="J23" s="244" t="str">
        <f>SWOT[[#This Row],[Item]]&amp;": "&amp;SWOT[[#This Row],[Description]]&amp;" ("&amp;SWOT[[#This Row],[Origination (Source) of Item]]&amp;")"&amp;" (Total Score: "&amp;SWOT[[#This Row],[Total Score]]&amp;")"</f>
        <v>Quality Differentiation: While competitors pursue cost leadership or invest in unproven autonomous technologies, capture the middle market by emphasizing proven reliability, manufacturing quality, and operational effectiveness that risk-averse defense ministries prioritize over lowest cost or cutting-edge but unvalidated capabilities. (OA Analysis) (Total Score: 9)</v>
      </c>
      <c r="K23" s="119"/>
      <c r="L23" s="119"/>
      <c r="M23" s="119"/>
    </row>
    <row r="24" spans="1:13" ht="45" x14ac:dyDescent="0.2">
      <c r="A24" s="244">
        <f>_xlfn.XLOOKUP(SWOT[[#This Row],[Category]],SWOT_Category[Category],SWOT_Category['#])</f>
        <v>3</v>
      </c>
      <c r="B24" s="238" t="s">
        <v>1243</v>
      </c>
      <c r="C24" s="239" t="s">
        <v>1244</v>
      </c>
      <c r="D24" s="240" t="s">
        <v>323</v>
      </c>
      <c r="E24" s="240" t="s">
        <v>1245</v>
      </c>
      <c r="F24" s="241"/>
      <c r="G24" s="240">
        <v>3</v>
      </c>
      <c r="H24" s="240">
        <v>3</v>
      </c>
      <c r="I24" s="242">
        <f>IF(AND(SWOT[[#This Row],[Value / Impact]]&lt;&gt;"",SWOT[[#This Row],[Power / Probability]]&lt;&gt;""),G24*H24,"")</f>
        <v>9</v>
      </c>
      <c r="J24" s="244" t="str">
        <f>SWOT[[#This Row],[Item]]&amp;": "&amp;SWOT[[#This Row],[Description]]&amp;" ("&amp;SWOT[[#This Row],[Origination (Source) of Item]]&amp;")"&amp;" (Total Score: "&amp;SWOT[[#This Row],[Total Score]]&amp;")"</f>
        <v>Strategic Validation and Revenue Replacement: U.S. budget cuts validate international diversification strategy, gaining leadership credibility as Southeast Asian growth achieves 25% revenue growth compensating for domestic losses, demonstrating successful geographic diversification execution and prescient strategic positioning. (Future 2 - Validation) (Total Score: 9)</v>
      </c>
      <c r="K24" s="119"/>
      <c r="L24" s="119"/>
      <c r="M24" s="119"/>
    </row>
    <row r="25" spans="1:13" ht="45" x14ac:dyDescent="0.2">
      <c r="A25" s="244">
        <f>_xlfn.XLOOKUP(SWOT[[#This Row],[Category]],SWOT_Category[Category],SWOT_Category['#])</f>
        <v>3</v>
      </c>
      <c r="B25" s="238" t="s">
        <v>1248</v>
      </c>
      <c r="C25" s="243" t="s">
        <v>1249</v>
      </c>
      <c r="D25" s="240" t="s">
        <v>323</v>
      </c>
      <c r="E25" s="240" t="s">
        <v>1250</v>
      </c>
      <c r="F25" s="241"/>
      <c r="G25" s="240">
        <v>3</v>
      </c>
      <c r="H25" s="240">
        <v>3</v>
      </c>
      <c r="I25" s="242">
        <f>IF(AND(SWOT[[#This Row],[Value / Impact]]&lt;&gt;"",SWOT[[#This Row],[Power / Probability]]&lt;&gt;""),G25*H25,"")</f>
        <v>9</v>
      </c>
      <c r="J25" s="244" t="str">
        <f>SWOT[[#This Row],[Item]]&amp;": "&amp;SWOT[[#This Row],[Description]]&amp;" ("&amp;SWOT[[#This Row],[Origination (Source) of Item]]&amp;")"&amp;" (Total Score: "&amp;SWOT[[#This Row],[Total Score]]&amp;")"</f>
        <v>Competitive Landscape Simplification: Three competitors exit unable to serve export markets, leaving remaining suppliers to split U.S. budget recovery upside and Southeast Asian markets rather than competing across multiple fronts, increasing market share opportunities and reducing price pressure. (Futures 2 - Validation, 4 - Technology Leadership) (Total Score: 9)</v>
      </c>
      <c r="K25" s="119"/>
      <c r="L25" s="119"/>
      <c r="M25" s="119"/>
    </row>
    <row r="26" spans="1:13" ht="60" x14ac:dyDescent="0.2">
      <c r="A26" s="244">
        <f>_xlfn.XLOOKUP(SWOT[[#This Row],[Category]],SWOT_Category[Category],SWOT_Category['#])</f>
        <v>3</v>
      </c>
      <c r="B26" s="238" t="s">
        <v>1251</v>
      </c>
      <c r="C26" s="240" t="s">
        <v>1252</v>
      </c>
      <c r="D26" s="240" t="s">
        <v>323</v>
      </c>
      <c r="E26" s="240" t="s">
        <v>1253</v>
      </c>
      <c r="F26" s="241"/>
      <c r="G26" s="240">
        <v>3</v>
      </c>
      <c r="H26" s="240">
        <v>3</v>
      </c>
      <c r="I26" s="242">
        <f>IF(AND(SWOT[[#This Row],[Value / Impact]]&lt;&gt;"",SWOT[[#This Row],[Power / Probability]]&lt;&gt;""),G26*H26,"")</f>
        <v>9</v>
      </c>
      <c r="J26" s="244" t="str">
        <f>SWOT[[#This Row],[Item]]&amp;": "&amp;SWOT[[#This Row],[Description]]&amp;" ("&amp;SWOT[[#This Row],[Origination (Source) of Item]]&amp;")"&amp;" (Total Score: "&amp;SWOT[[#This Row],[Total Score]]&amp;")"</f>
        <v>Relationship and Cultural Advantage: Early market entry and patient relationship-building investments create first-mover advantages as years of trust-building mature rapidly when governments prioritize proven partners, while patent cooperation and deep cultural competency enable navigation of complex offset negotiations and public-private partnership structures competitors find impenetrable, creating multi-decade contract streams with durable switching costs. (Futures 2 - Validation, 3 - Climate Leadership) (Total Score: 9)</v>
      </c>
      <c r="K26" s="119"/>
      <c r="L26" s="119"/>
      <c r="M26" s="119"/>
    </row>
    <row r="27" spans="1:13" ht="45" x14ac:dyDescent="0.2">
      <c r="A27" s="244">
        <f>_xlfn.XLOOKUP(SWOT[[#This Row],[Category]],SWOT_Category[Category],SWOT_Category['#])</f>
        <v>3</v>
      </c>
      <c r="B27" s="238" t="s">
        <v>1254</v>
      </c>
      <c r="C27" s="240" t="s">
        <v>1255</v>
      </c>
      <c r="D27" s="240" t="s">
        <v>323</v>
      </c>
      <c r="E27" s="240" t="s">
        <v>1256</v>
      </c>
      <c r="F27" s="241"/>
      <c r="G27" s="240">
        <v>3</v>
      </c>
      <c r="H27" s="240">
        <v>3</v>
      </c>
      <c r="I27" s="242">
        <f>IF(AND(SWOT[[#This Row],[Value / Impact]]&lt;&gt;"",SWOT[[#This Row],[Power / Probability]]&lt;&gt;""),G27*H27,"")</f>
        <v>9</v>
      </c>
      <c r="J27" s="244" t="str">
        <f>SWOT[[#This Row],[Item]]&amp;": "&amp;SWOT[[#This Row],[Description]]&amp;" ("&amp;SWOT[[#This Row],[Origination (Source) of Item]]&amp;")"&amp;" (Total Score: "&amp;SWOT[[#This Row],[Total Score]]&amp;")"</f>
        <v>Climate Specialization Leadership: Early investment in tropical engineering creates defensible competitive advantage with premium pricing power, establishing market dominance where competitors lack core capabilities in climate-hardened systems, demonstrated IP protection enhances cyber resilience brand reputation attracting security-conscious governments. (Future 3 - Climate Leadership) (Total Score: 9)</v>
      </c>
      <c r="K27" s="119"/>
      <c r="L27" s="119"/>
      <c r="M27" s="119"/>
    </row>
    <row r="28" spans="1:13" ht="45" x14ac:dyDescent="0.2">
      <c r="A28" s="244">
        <f>_xlfn.XLOOKUP(SWOT[[#This Row],[Category]],SWOT_Category[Category],SWOT_Category['#])</f>
        <v>3</v>
      </c>
      <c r="B28" s="238" t="s">
        <v>1260</v>
      </c>
      <c r="C28" s="240" t="s">
        <v>1261</v>
      </c>
      <c r="D28" s="240" t="s">
        <v>323</v>
      </c>
      <c r="E28" s="240" t="s">
        <v>1256</v>
      </c>
      <c r="F28" s="240"/>
      <c r="G28" s="240">
        <v>3</v>
      </c>
      <c r="H28" s="240">
        <v>3</v>
      </c>
      <c r="I28" s="242">
        <f>IF(AND(SWOT[[#This Row],[Value / Impact]]&lt;&gt;"",SWOT[[#This Row],[Power / Probability]]&lt;&gt;""),G28*H28,"")</f>
        <v>9</v>
      </c>
      <c r="J28" s="244" t="str">
        <f>SWOT[[#This Row],[Item]]&amp;": "&amp;SWOT[[#This Row],[Description]]&amp;" ("&amp;SWOT[[#This Row],[Origination (Source) of Item]]&amp;")"&amp;" (Total Score: "&amp;SWOT[[#This Row],[Total Score]]&amp;")"</f>
        <v>Compliance and Regulatory Capability: Sophisticated FCPA and export licensing capabilities differentiate through compliance excellence, building trust with U.S. government approvers and Southeast Asian procurement officials simultaneously, creating competitive moats unavailable to less-experienced competitors. (Future 3 - Climate Leadership) (Total Score: 9)</v>
      </c>
      <c r="K28" s="119"/>
      <c r="L28" s="119"/>
      <c r="M28" s="119"/>
    </row>
    <row r="29" spans="1:13" ht="60" x14ac:dyDescent="0.2">
      <c r="A29" s="244">
        <f>_xlfn.XLOOKUP(SWOT[[#This Row],[Category]],SWOT_Category[Category],SWOT_Category['#])</f>
        <v>3</v>
      </c>
      <c r="B29" s="57" t="s">
        <v>1262</v>
      </c>
      <c r="C29" s="244" t="s">
        <v>1263</v>
      </c>
      <c r="D29" s="244" t="s">
        <v>323</v>
      </c>
      <c r="E29" s="239" t="s">
        <v>1264</v>
      </c>
      <c r="F29" s="244"/>
      <c r="G29" s="244">
        <v>3</v>
      </c>
      <c r="H29" s="244">
        <v>3</v>
      </c>
      <c r="I29" s="245">
        <f>IF(AND(SWOT[[#This Row],[Value / Impact]]&lt;&gt;"",SWOT[[#This Row],[Power / Probability]]&lt;&gt;""),G29*H29,"")</f>
        <v>9</v>
      </c>
      <c r="J29" s="244" t="str">
        <f>SWOT[[#This Row],[Item]]&amp;": "&amp;SWOT[[#This Row],[Description]]&amp;" ("&amp;SWOT[[#This Row],[Origination (Source) of Item]]&amp;")"&amp;" (Total Score: "&amp;SWOT[[#This Row],[Total Score]]&amp;")"</f>
        <v>Technology and Innovation Leadership: AI-enabled design optimization reduces vehicle weight 15-20% while improving survivability, digital manufacturing enables rapid customization without engineering delays, active protection system integration opens technology licensing revenue streams, early autonomous technology adoption positions for next-generation contracts, while co-development partnerships create joint IP ownership reducing development costs and accelerating relationship-building in cultures valuing cutting-edge capabilities. (Future 4 - Technology Leadership) (Total Score: 9)</v>
      </c>
      <c r="K29" s="119"/>
      <c r="L29" s="119"/>
      <c r="M29" s="119"/>
    </row>
    <row r="30" spans="1:13" ht="45" x14ac:dyDescent="0.2">
      <c r="A30" s="244">
        <f>_xlfn.XLOOKUP(SWOT[[#This Row],[Category]],SWOT_Category[Category],SWOT_Category['#])</f>
        <v>3</v>
      </c>
      <c r="B30" s="57" t="s">
        <v>1265</v>
      </c>
      <c r="C30" s="244" t="s">
        <v>1266</v>
      </c>
      <c r="D30" s="244" t="s">
        <v>323</v>
      </c>
      <c r="E30" s="239" t="s">
        <v>1264</v>
      </c>
      <c r="F30" s="244"/>
      <c r="G30" s="244">
        <v>3</v>
      </c>
      <c r="H30" s="244">
        <v>3</v>
      </c>
      <c r="I30" s="245">
        <f>IF(AND(SWOT[[#This Row],[Value / Impact]]&lt;&gt;"",SWOT[[#This Row],[Power / Probability]]&lt;&gt;""),G30*H30,"")</f>
        <v>9</v>
      </c>
      <c r="J30" s="244" t="str">
        <f>SWOT[[#This Row],[Item]]&amp;": "&amp;SWOT[[#This Row],[Description]]&amp;" ("&amp;SWOT[[#This Row],[Origination (Source) of Item]]&amp;")"&amp;" (Total Score: "&amp;SWOT[[#This Row],[Total Score]]&amp;")"</f>
        <v>International Revenue Funding Mechanism: Southeast Asian export revenue funds R&amp;D investments while U.S. budget cuts prevent domestic competitors from matching technology development pace, helping company survive budget trough and positioning for growth as appropriations recover while competitors without diversification face existential threats. (Future 4 - Technology Leadership) (Total Score: 9)</v>
      </c>
      <c r="K30" s="119"/>
      <c r="L30" s="119"/>
      <c r="M30" s="119"/>
    </row>
    <row r="31" spans="1:13" ht="45" x14ac:dyDescent="0.15">
      <c r="A31" s="244">
        <f>_xlfn.XLOOKUP(SWOT[[#This Row],[Category]],SWOT_Category[Category],SWOT_Category['#])</f>
        <v>3</v>
      </c>
      <c r="B31" s="238" t="s">
        <v>1222</v>
      </c>
      <c r="C31" s="239" t="s">
        <v>1234</v>
      </c>
      <c r="D31" s="240" t="s">
        <v>323</v>
      </c>
      <c r="E31" s="240" t="s">
        <v>433</v>
      </c>
      <c r="F31" s="241"/>
      <c r="G31" s="240">
        <v>3</v>
      </c>
      <c r="H31" s="240">
        <v>2</v>
      </c>
      <c r="I31" s="242">
        <f>IF(AND(SWOT[[#This Row],[Value / Impact]]&lt;&gt;"",SWOT[[#This Row],[Power / Probability]]&lt;&gt;""),G31*H31,"")</f>
        <v>6</v>
      </c>
      <c r="J31" s="244" t="str">
        <f>SWOT[[#This Row],[Item]]&amp;": "&amp;SWOT[[#This Row],[Description]]&amp;" ("&amp;SWOT[[#This Row],[Origination (Source) of Item]]&amp;")"&amp;" (Total Score: "&amp;SWOT[[#This Row],[Total Score]]&amp;")"</f>
        <v>Relationship Timing Advantage: Early market entry and patient relationship-building investments can create first-mover advantages in trust-dependent Southeast Asian cultures, where three-to-five-year partnership timelines favor incumbents and create switching costs that newcomers cannot easily overcome despite aggressive expansion strategies. (OA Analysis) (Total Score: 6)</v>
      </c>
    </row>
    <row r="32" spans="1:13" ht="60" x14ac:dyDescent="0.15">
      <c r="A32" s="244">
        <f>_xlfn.XLOOKUP(SWOT[[#This Row],[Category]],SWOT_Category[Category],SWOT_Category['#])</f>
        <v>3</v>
      </c>
      <c r="B32" s="238" t="s">
        <v>1238</v>
      </c>
      <c r="C32" s="239" t="s">
        <v>1239</v>
      </c>
      <c r="D32" s="240" t="s">
        <v>323</v>
      </c>
      <c r="E32" s="240" t="s">
        <v>1240</v>
      </c>
      <c r="F32" s="241"/>
      <c r="G32" s="240">
        <v>3</v>
      </c>
      <c r="H32" s="240">
        <v>2</v>
      </c>
      <c r="I32" s="242">
        <f>IF(AND(SWOT[[#This Row],[Value / Impact]]&lt;&gt;"",SWOT[[#This Row],[Power / Probability]]&lt;&gt;""),G32*H32,"")</f>
        <v>6</v>
      </c>
      <c r="J32" s="244" t="str">
        <f>SWOT[[#This Row],[Item]]&amp;": "&amp;SWOT[[#This Row],[Description]]&amp;" ("&amp;SWOT[[#This Row],[Origination (Source) of Item]]&amp;")"&amp;" (Total Score: "&amp;SWOT[[#This Row],[Total Score]]&amp;")"</f>
        <v>Crisis-Driven Acquisition and Incentive Opportunities: Economic crisis creates opportunities to acquire distressed competitor assets—production facilities, technology patents, trained workforces—at fraction of replacement cost, while governments offer unprecedented manufacturing incentives including tax holidays, subsidized facilities, and workforce training programs to retain defense industrial capability, justifying vertical integration investments that strengthen long-term competitive position. (Future 1 - Crisis) (Total Score: 6)</v>
      </c>
    </row>
    <row r="33" spans="1:10" ht="48" x14ac:dyDescent="0.15">
      <c r="A33" s="244">
        <f>_xlfn.XLOOKUP(SWOT[[#This Row],[Category]],SWOT_Category[Category],SWOT_Category['#])</f>
        <v>3</v>
      </c>
      <c r="B33" s="238" t="s">
        <v>1241</v>
      </c>
      <c r="C33" s="239" t="s">
        <v>1242</v>
      </c>
      <c r="D33" s="240" t="s">
        <v>323</v>
      </c>
      <c r="E33" s="240" t="s">
        <v>1240</v>
      </c>
      <c r="F33" s="241"/>
      <c r="G33" s="240">
        <v>3</v>
      </c>
      <c r="H33" s="240">
        <v>2</v>
      </c>
      <c r="I33" s="242">
        <f>IF(AND(SWOT[[#This Row],[Value / Impact]]&lt;&gt;"",SWOT[[#This Row],[Power / Probability]]&lt;&gt;""),G33*H33,"")</f>
        <v>6</v>
      </c>
      <c r="J33" s="244" t="str">
        <f>SWOT[[#This Row],[Item]]&amp;": "&amp;SWOT[[#This Row],[Description]]&amp;" ("&amp;SWOT[[#This Row],[Origination (Source) of Item]]&amp;")"&amp;" (Total Score: "&amp;SWOT[[#This Row],[Total Score]]&amp;")"</f>
        <v>Alternative Revenue Channels: Internal security equipment demand spikes—armored personnel carriers for riot control, urban warfare variants, counterinsurgency platforms—creating alternative market segments less affected by defense budget cuts, while authoritarian governments expedite procurement bypassing traditional relationship-building timelines for immediate capability delivery. (Future 1 - Crisis) (Total Score: 6)</v>
      </c>
    </row>
    <row r="34" spans="1:10" ht="60" x14ac:dyDescent="0.15">
      <c r="A34" s="244">
        <f>_xlfn.XLOOKUP(SWOT[[#This Row],[Category]],SWOT_Category[Category],SWOT_Category['#])</f>
        <v>3</v>
      </c>
      <c r="B34" s="238" t="s">
        <v>1257</v>
      </c>
      <c r="C34" s="240" t="s">
        <v>1258</v>
      </c>
      <c r="D34" s="240" t="s">
        <v>323</v>
      </c>
      <c r="E34" s="240" t="s">
        <v>1259</v>
      </c>
      <c r="F34" s="241"/>
      <c r="G34" s="240">
        <v>3</v>
      </c>
      <c r="H34" s="240">
        <v>2</v>
      </c>
      <c r="I34" s="242">
        <f>IF(AND(SWOT[[#This Row],[Value / Impact]]&lt;&gt;"",SWOT[[#This Row],[Power / Probability]]&lt;&gt;""),G34*H34,"")</f>
        <v>6</v>
      </c>
      <c r="J34" s="244" t="str">
        <f>SWOT[[#This Row],[Item]]&amp;": "&amp;SWOT[[#This Row],[Description]]&amp;" ("&amp;SWOT[[#This Row],[Origination (Source) of Item]]&amp;")"&amp;" (Total Score: "&amp;SWOT[[#This Row],[Total Score]]&amp;")"</f>
        <v>Operational Excellence and Automation: Automation investments deliver 50% cost reductions enabling aggressive pricing while maintaining margins, workforce constraints justify major automation investments improving production consistency and enabling flexible dual-market production, while demonstrating financial resilience and operational flexibility during crisis periods gains competitive preference. (Futures 1 - Crisis, 3 - Climate Leadership, 4 - Technology Leadership) (Total Score: 6)</v>
      </c>
    </row>
    <row r="35" spans="1:10" ht="45" x14ac:dyDescent="0.15">
      <c r="A35" s="244">
        <f>_xlfn.XLOOKUP(SWOT[[#This Row],[Category]],SWOT_Category[Category],SWOT_Category['#])</f>
        <v>3</v>
      </c>
      <c r="B35" s="238" t="s">
        <v>1223</v>
      </c>
      <c r="C35" s="239" t="s">
        <v>1231</v>
      </c>
      <c r="D35" s="240" t="s">
        <v>323</v>
      </c>
      <c r="E35" s="240" t="s">
        <v>433</v>
      </c>
      <c r="F35" s="241"/>
      <c r="G35" s="240">
        <v>2</v>
      </c>
      <c r="H35" s="240">
        <v>2</v>
      </c>
      <c r="I35" s="242">
        <f>IF(AND(SWOT[[#This Row],[Value / Impact]]&lt;&gt;"",SWOT[[#This Row],[Power / Probability]]&lt;&gt;""),G35*H35,"")</f>
        <v>4</v>
      </c>
      <c r="J35" s="244" t="str">
        <f>SWOT[[#This Row],[Item]]&amp;": "&amp;SWOT[[#This Row],[Description]]&amp;" ("&amp;SWOT[[#This Row],[Origination (Source) of Item]]&amp;")"&amp;" (Total Score: "&amp;SWOT[[#This Row],[Total Score]]&amp;")"</f>
        <v>Competitive Intelligence: Observing adversary market entry strategies, technology investments, and partnership models provides valuable intelligence about customer preferences, regulatory challenges, and effective business models without incurring the full costs and risks of trial-and-error experimentation. (OA Analysis) (Total Score: 4)</v>
      </c>
    </row>
    <row r="36" spans="1:10" ht="45" x14ac:dyDescent="0.15">
      <c r="A36" s="244">
        <f>_xlfn.XLOOKUP(SWOT[[#This Row],[Category]],SWOT_Category[Category],SWOT_Category['#])</f>
        <v>3</v>
      </c>
      <c r="B36" s="238" t="s">
        <v>1246</v>
      </c>
      <c r="C36" s="243" t="s">
        <v>1247</v>
      </c>
      <c r="D36" s="240" t="s">
        <v>323</v>
      </c>
      <c r="E36" s="240" t="s">
        <v>1245</v>
      </c>
      <c r="F36" s="241"/>
      <c r="G36" s="240">
        <v>2</v>
      </c>
      <c r="H36" s="240">
        <v>2</v>
      </c>
      <c r="I36" s="242">
        <f>IF(AND(SWOT[[#This Row],[Value / Impact]]&lt;&gt;"",SWOT[[#This Row],[Power / Probability]]&lt;&gt;""),G36*H36,"")</f>
        <v>4</v>
      </c>
      <c r="J36" s="244" t="str">
        <f>SWOT[[#This Row],[Item]]&amp;": "&amp;SWOT[[#This Row],[Description]]&amp;" ("&amp;SWOT[[#This Row],[Origination (Source) of Item]]&amp;")"&amp;" (Total Score: "&amp;SWOT[[#This Row],[Total Score]]&amp;")"</f>
        <v>Seller's Market Dynamics: Simultaneous U.S. budget cuts and competitor exits create supply shortage during demand spike, enabling premium pricing and favorable contract terms without offset requirements, while establishing dominant market presence persists after tensions ease creating decades of customer relationships. (Future 2 - Validation) (Total Score: 4)</v>
      </c>
    </row>
    <row r="37" spans="1:10" ht="51" customHeight="1" x14ac:dyDescent="0.15">
      <c r="A37" s="244">
        <f>_xlfn.XLOOKUP(SWOT[[#This Row],[Category]],SWOT_Category[Category],SWOT_Category['#])</f>
        <v>4</v>
      </c>
      <c r="B37" s="57" t="s">
        <v>1267</v>
      </c>
      <c r="C37" s="244" t="s">
        <v>1268</v>
      </c>
      <c r="D37" s="244" t="s">
        <v>15</v>
      </c>
      <c r="E37" s="239" t="s">
        <v>1269</v>
      </c>
      <c r="F37" s="244"/>
      <c r="G37" s="244">
        <v>3</v>
      </c>
      <c r="H37" s="244">
        <v>3</v>
      </c>
      <c r="I37" s="245">
        <f>IF(AND(SWOT[[#This Row],[Value / Impact]]&lt;&gt;"",SWOT[[#This Row],[Power / Probability]]&lt;&gt;""),G37*H37,"")</f>
        <v>9</v>
      </c>
      <c r="J37" s="244" t="str">
        <f>SWOT[[#This Row],[Item]]&amp;": "&amp;SWOT[[#This Row],[Description]]&amp;" ("&amp;SWOT[[#This Row],[Origination (Source) of Item]]&amp;")"&amp;" (Total Score: "&amp;SWOT[[#This Row],[Total Score]]&amp;")"</f>
        <v>Financial Survival and Liquidity Risk: Market collapse threatens organizational survival as Southeast Asian investments exceeding $200M become stranded assets yielding zero return, financial contagion multiplies through currency devaluations destroying receivables and contract defaults, while concentrating 70% revenue in one region vulnerable to coordinated crisis creates double-jeopardy where cash flow crisis emerges 2029-2031 as U.S. revenue declines before Southeast Asian contracts mature during peak capital needs. (Futures 1 - Crisis, 2 - Validation, 4 - Technology Leadership) (Total Score: 9)</v>
      </c>
    </row>
    <row r="38" spans="1:10" ht="51" customHeight="1" x14ac:dyDescent="0.15">
      <c r="A38" s="244">
        <f>_xlfn.XLOOKUP(SWOT[[#This Row],[Category]],SWOT_Category[Category],SWOT_Category['#])</f>
        <v>4</v>
      </c>
      <c r="B38" s="57" t="s">
        <v>1270</v>
      </c>
      <c r="C38" s="244" t="s">
        <v>1271</v>
      </c>
      <c r="D38" s="244" t="s">
        <v>15</v>
      </c>
      <c r="E38" s="239" t="s">
        <v>1272</v>
      </c>
      <c r="F38" s="244"/>
      <c r="G38" s="244">
        <v>3</v>
      </c>
      <c r="H38" s="244">
        <v>3</v>
      </c>
      <c r="I38" s="245">
        <f>IF(AND(SWOT[[#This Row],[Value / Impact]]&lt;&gt;"",SWOT[[#This Row],[Power / Probability]]&lt;&gt;""),G38*H38,"")</f>
        <v>9</v>
      </c>
      <c r="J38" s="244" t="str">
        <f>SWOT[[#This Row],[Item]]&amp;": "&amp;SWOT[[#This Row],[Description]]&amp;" ("&amp;SWOT[[#This Row],[Origination (Source) of Item]]&amp;")"&amp;" (Total Score: "&amp;SWOT[[#This Row],[Total Score]]&amp;")"</f>
        <v>Workforce and Supply Chain Constraints: Workforce crisis threatens production quality as inability to attract skilled welders, machinists, and AI-specialized engineers creates capacity constraints automation cannot fully compensate for, while supply chain catastrophe forces production shutdowns lasting months as single missing component halts vehicle assembly and operating at 300% capacity strains supplier relationships causing delivery failures and penalty triggers. (Futures 1 - Crisis, 2 - Validation, 3 - Climate Leadership, 4 - Technology Leadership) (Total Score: 9)</v>
      </c>
    </row>
    <row r="39" spans="1:10" ht="60" x14ac:dyDescent="0.15">
      <c r="A39" s="244">
        <f>_xlfn.XLOOKUP(SWOT[[#This Row],[Category]],SWOT_Category[Category],SWOT_Category['#])</f>
        <v>4</v>
      </c>
      <c r="B39" s="57" t="s">
        <v>1273</v>
      </c>
      <c r="C39" s="244" t="s">
        <v>1274</v>
      </c>
      <c r="D39" s="244" t="s">
        <v>15</v>
      </c>
      <c r="E39" s="239" t="s">
        <v>1275</v>
      </c>
      <c r="F39" s="244"/>
      <c r="G39" s="244">
        <v>3</v>
      </c>
      <c r="H39" s="244">
        <v>3</v>
      </c>
      <c r="I39" s="245">
        <f>IF(AND(SWOT[[#This Row],[Value / Impact]]&lt;&gt;"",SWOT[[#This Row],[Power / Probability]]&lt;&gt;""),G39*H39,"")</f>
        <v>9</v>
      </c>
      <c r="J39" s="244" t="str">
        <f>SWOT[[#This Row],[Item]]&amp;": "&amp;SWOT[[#This Row],[Description]]&amp;" ("&amp;SWOT[[#This Row],[Origination (Source) of Item]]&amp;")"&amp;" (Total Score: "&amp;SWOT[[#This Row],[Total Score]]&amp;")"</f>
        <v>Capital Intensity and R&amp;D Burden: Climate adaptation and autonomous technology development demands $150-200M annually straining capital, forcing trade-offs between technology investment and market development where both must succeed simultaneously, while simultaneous demands for climate R&amp;D, automation, compliance infrastructure, and patent development exhaust financial resources, with $200M investments becoming outdated within five years as Chinese counter-AI evolves requiring continuous reinvestment. (Futures 3 - Climate Leadership, 4 - Technology Leadership) (Total Score: 9)</v>
      </c>
    </row>
    <row r="40" spans="1:10" ht="60" x14ac:dyDescent="0.15">
      <c r="A40" s="244">
        <f>_xlfn.XLOOKUP(SWOT[[#This Row],[Category]],SWOT_Category[Category],SWOT_Category['#])</f>
        <v>4</v>
      </c>
      <c r="B40" s="58" t="s">
        <v>1278</v>
      </c>
      <c r="C40" s="246" t="s">
        <v>1279</v>
      </c>
      <c r="D40" s="246" t="s">
        <v>15</v>
      </c>
      <c r="E40" s="255" t="s">
        <v>1275</v>
      </c>
      <c r="F40" s="246"/>
      <c r="G40" s="246">
        <v>3</v>
      </c>
      <c r="H40" s="246">
        <v>3</v>
      </c>
      <c r="I40" s="247">
        <f>IF(AND(SWOT[[#This Row],[Value / Impact]]&lt;&gt;"",SWOT[[#This Row],[Power / Probability]]&lt;&gt;""),G40*H40,"")</f>
        <v>9</v>
      </c>
      <c r="J40" s="244" t="str">
        <f>SWOT[[#This Row],[Item]]&amp;": "&amp;SWOT[[#This Row],[Description]]&amp;" ("&amp;SWOT[[#This Row],[Origination (Source) of Item]]&amp;")"&amp;" (Total Score: "&amp;SWOT[[#This Row],[Total Score]]&amp;")"</f>
        <v>Regulatory and Compliance Vulnerabilities: Single FCPA violation triggers penalties exceeding $100M with criminal prosecution and permanent market exclusion, AI export restrictions could block Southeast Asian sales eliminating revenue funding development, while unpredictable export license delays create customer frustration and competitive openings for less-regulated adversaries. (Futures 3 - Climate Leadership, 4 - Technology Leadership) (Total Score: 9)</v>
      </c>
    </row>
    <row r="41" spans="1:10" ht="60" x14ac:dyDescent="0.15">
      <c r="A41" s="244">
        <f>_xlfn.XLOOKUP(SWOT[[#This Row],[Category]],SWOT_Category[Category],SWOT_Category['#])</f>
        <v>4</v>
      </c>
      <c r="B41" s="57" t="s">
        <v>1280</v>
      </c>
      <c r="C41" s="244" t="s">
        <v>1281</v>
      </c>
      <c r="D41" s="244" t="s">
        <v>15</v>
      </c>
      <c r="E41" s="239" t="s">
        <v>1250</v>
      </c>
      <c r="F41" s="244"/>
      <c r="G41" s="244">
        <v>3</v>
      </c>
      <c r="H41" s="244">
        <v>3</v>
      </c>
      <c r="I41" s="245">
        <f>IF(AND(SWOT[[#This Row],[Value / Impact]]&lt;&gt;"",SWOT[[#This Row],[Power / Probability]]&lt;&gt;""),G41*H41,"")</f>
        <v>9</v>
      </c>
      <c r="J41" s="244" t="str">
        <f>SWOT[[#This Row],[Item]]&amp;": "&amp;SWOT[[#This Row],[Description]]&amp;" ("&amp;SWOT[[#This Row],[Origination (Source) of Item]]&amp;")"&amp;" (Total Score: "&amp;SWOT[[#This Row],[Total Score]]&amp;")"</f>
        <v>Strategic Market Positioning Loss: U.S. military deprioritizes Sentinel as foreign-focused contractor foreclosing future competitions when budgets recover, Tennessee employees perceive foreign sales as replacing American jobs triggering Congressional backlash, while technology bifurcation risk leaves Sentinel trapped between markets as customers prefer affordable proven platforms over expensive autonomous systems nobody purchases. (Futures 2 - Validation, 4 - Technology Leadership) (Total Score: 9)</v>
      </c>
    </row>
    <row r="42" spans="1:10" ht="50" customHeight="1" x14ac:dyDescent="0.15">
      <c r="A42" s="244">
        <f>_xlfn.XLOOKUP(SWOT[[#This Row],[Category]],SWOT_Category[Category],SWOT_Category['#])</f>
        <v>4</v>
      </c>
      <c r="B42" s="57" t="s">
        <v>1284</v>
      </c>
      <c r="C42" s="244" t="s">
        <v>1285</v>
      </c>
      <c r="D42" s="244" t="s">
        <v>15</v>
      </c>
      <c r="E42" s="239" t="s">
        <v>1286</v>
      </c>
      <c r="F42" s="244"/>
      <c r="G42" s="244">
        <v>3</v>
      </c>
      <c r="H42" s="244">
        <v>3</v>
      </c>
      <c r="I42" s="245">
        <f>IF(AND(SWOT[[#This Row],[Value / Impact]]&lt;&gt;"",SWOT[[#This Row],[Power / Probability]]&lt;&gt;""),G42*H42,"")</f>
        <v>9</v>
      </c>
      <c r="J42" s="244" t="str">
        <f>SWOT[[#This Row],[Item]]&amp;": "&amp;SWOT[[#This Row],[Description]]&amp;" ("&amp;SWOT[[#This Row],[Origination (Source) of Item]]&amp;")"&amp;" (Total Score: "&amp;SWOT[[#This Row],[Total Score]]&amp;")"</f>
        <v>Technology and Cyber Vulnerabilities: Compromised autonomous algorithms could fail catastrophically in combat creating liability exposure, cyber breaches exposing proprietary armor technologies eliminate competitive advantage overnight, cyber targeting intensifies as Chinese actors sabotage supply chains, while smaller competitors partner with technology firms to leapfrog Sentinel's in-house development gaining equivalent capabilities at lower cost and risk. (Futures 2 - Validation, 3 - Climate Leadership, 4 - Technology Leadership) (Total Score: 9)</v>
      </c>
    </row>
    <row r="43" spans="1:10" ht="45" customHeight="1" x14ac:dyDescent="0.15">
      <c r="A43" s="244">
        <f>_xlfn.XLOOKUP(SWOT[[#This Row],[Category]],SWOT_Category[Category],SWOT_Category['#])</f>
        <v>4</v>
      </c>
      <c r="B43" s="238" t="s">
        <v>1226</v>
      </c>
      <c r="C43" s="243" t="s">
        <v>1229</v>
      </c>
      <c r="D43" s="240" t="s">
        <v>15</v>
      </c>
      <c r="E43" s="240" t="s">
        <v>433</v>
      </c>
      <c r="F43" s="241"/>
      <c r="G43" s="240">
        <v>3</v>
      </c>
      <c r="H43" s="240">
        <v>2</v>
      </c>
      <c r="I43" s="242">
        <f>IF(AND(SWOT[[#This Row],[Value / Impact]]&lt;&gt;"",SWOT[[#This Row],[Power / Probability]]&lt;&gt;""),G43*H43,"")</f>
        <v>6</v>
      </c>
      <c r="J43" s="244" t="str">
        <f>SWOT[[#This Row],[Item]]&amp;": "&amp;SWOT[[#This Row],[Description]]&amp;" ("&amp;SWOT[[#This Row],[Origination (Source) of Item]]&amp;")"&amp;" (Total Score: "&amp;SWOT[[#This Row],[Total Score]]&amp;")"</f>
        <v>Legal and IP Vulnerabilities: Industry patterns of patent litigation and intellectual property disputes create risk that could drain resources, block technological differentiation, delay product launches, and distract leadership attention from strategic execution during the critical market entry phase when Sentinel can least afford protracted legal battles. (OA Analysis) (Total Score: 6)</v>
      </c>
    </row>
    <row r="44" spans="1:10" ht="48" x14ac:dyDescent="0.15">
      <c r="A44" s="244">
        <f>_xlfn.XLOOKUP(SWOT[[#This Row],[Category]],SWOT_Category[Category],SWOT_Category['#])</f>
        <v>4</v>
      </c>
      <c r="B44" s="238" t="s">
        <v>1227</v>
      </c>
      <c r="C44" s="243" t="s">
        <v>1236</v>
      </c>
      <c r="D44" s="240" t="s">
        <v>15</v>
      </c>
      <c r="E44" s="240" t="s">
        <v>433</v>
      </c>
      <c r="F44" s="241"/>
      <c r="G44" s="240">
        <v>3</v>
      </c>
      <c r="H44" s="240">
        <v>2</v>
      </c>
      <c r="I44" s="242">
        <f>IF(AND(SWOT[[#This Row],[Value / Impact]]&lt;&gt;"",SWOT[[#This Row],[Power / Probability]]&lt;&gt;""),G44*H44,"")</f>
        <v>6</v>
      </c>
      <c r="J44" s="244" t="str">
        <f>SWOT[[#This Row],[Item]]&amp;": "&amp;SWOT[[#This Row],[Description]]&amp;" ("&amp;SWOT[[#This Row],[Origination (Source) of Item]]&amp;")"&amp;" (Total Score: "&amp;SWOT[[#This Row],[Total Score]]&amp;")"</f>
        <v>Technology Obsolescence : Substantial industry R&amp;D investments in autonomous systems and active protection technologies threaten to leapfrog Sentinel's proven conventional platforms if Southeast Asian procurement specifications evolve toward advanced capabilities faster than anticipated, potentially rendering Sentinel's tropical engineering advantages obsolete or relegating them to commodity status. (OA Analysis) (Total Score: 6)</v>
      </c>
    </row>
    <row r="45" spans="1:10" ht="51" customHeight="1" x14ac:dyDescent="0.15">
      <c r="A45" s="244">
        <f>_xlfn.XLOOKUP(SWOT[[#This Row],[Category]],SWOT_Category[Category],SWOT_Category['#])</f>
        <v>4</v>
      </c>
      <c r="B45" s="57" t="s">
        <v>1276</v>
      </c>
      <c r="C45" s="244" t="s">
        <v>1277</v>
      </c>
      <c r="D45" s="244" t="s">
        <v>15</v>
      </c>
      <c r="E45" s="239" t="s">
        <v>1272</v>
      </c>
      <c r="F45" s="244"/>
      <c r="G45" s="244">
        <v>3</v>
      </c>
      <c r="H45" s="244">
        <v>2</v>
      </c>
      <c r="I45" s="245">
        <f>IF(AND(SWOT[[#This Row],[Value / Impact]]&lt;&gt;"",SWOT[[#This Row],[Power / Probability]]&lt;&gt;""),G45*H45,"")</f>
        <v>6</v>
      </c>
      <c r="J45" s="244" t="str">
        <f>SWOT[[#This Row],[Item]]&amp;": "&amp;SWOT[[#This Row],[Description]]&amp;" ("&amp;SWOT[[#This Row],[Origination (Source) of Item]]&amp;")"&amp;" (Total Score: "&amp;SWOT[[#This Row],[Total Score]]&amp;")"</f>
        <v>Reputational and Relationship Destruction: Single high-profile failure—vehicle underperforms, human rights controversy, corruption allegation, premature autonomous system combat failure—threatens entire regional revenue base simultaneously, while authoritarian pivots trigger Congressional investigations and FCPA violation risks, and cultural missteps destroy years of trust-building instantly opening opportunities for competitors. (Futures 1 - Crisis, 2 - Validation, 3 - Climate Leadership, 4 - Technology Leadership) (Total Score: 6)</v>
      </c>
    </row>
    <row r="46" spans="1:10" ht="38" customHeight="1" x14ac:dyDescent="0.15">
      <c r="A46" s="244">
        <f>_xlfn.XLOOKUP(SWOT[[#This Row],[Category]],SWOT_Category[Category],SWOT_Category['#])</f>
        <v>4</v>
      </c>
      <c r="B46" s="57" t="s">
        <v>1282</v>
      </c>
      <c r="C46" s="244" t="s">
        <v>1283</v>
      </c>
      <c r="D46" s="244" t="s">
        <v>15</v>
      </c>
      <c r="E46" s="239" t="s">
        <v>1245</v>
      </c>
      <c r="F46" s="244"/>
      <c r="G46" s="244">
        <v>3</v>
      </c>
      <c r="H46" s="244">
        <v>2</v>
      </c>
      <c r="I46" s="245">
        <f>IF(AND(SWOT[[#This Row],[Value / Impact]]&lt;&gt;"",SWOT[[#This Row],[Power / Probability]]&lt;&gt;""),G46*H46,"")</f>
        <v>6</v>
      </c>
      <c r="J46" s="244" t="str">
        <f>SWOT[[#This Row],[Item]]&amp;": "&amp;SWOT[[#This Row],[Description]]&amp;" ("&amp;SWOT[[#This Row],[Origination (Source) of Item]]&amp;")"&amp;" (Total Score: "&amp;SWOT[[#This Row],[Total Score]]&amp;")"</f>
        <v>Quality and Operational Compromise: Unable to serve both markets optimally under urgency pressure, quality compromises trigger warranty claims and reputational damage affecting credibility in both regions simultaneously, compounded by overtaxed production systems operating beyond sustainable capacity. (Future 2 - Validation) (Total Score: 6)</v>
      </c>
    </row>
    <row r="47" spans="1:10" ht="45" x14ac:dyDescent="0.15">
      <c r="A47" s="244">
        <f>_xlfn.XLOOKUP(SWOT[[#This Row],[Category]],SWOT_Category[Category],SWOT_Category['#])</f>
        <v>4</v>
      </c>
      <c r="B47" s="238" t="s">
        <v>1224</v>
      </c>
      <c r="C47" s="239" t="s">
        <v>1235</v>
      </c>
      <c r="D47" s="240" t="s">
        <v>15</v>
      </c>
      <c r="E47" s="240" t="s">
        <v>433</v>
      </c>
      <c r="F47" s="241"/>
      <c r="G47" s="240">
        <v>2</v>
      </c>
      <c r="H47" s="240">
        <v>2</v>
      </c>
      <c r="I47" s="242">
        <f>IF(AND(SWOT[[#This Row],[Value / Impact]]&lt;&gt;"",SWOT[[#This Row],[Power / Probability]]&lt;&gt;""),G47*H47,"")</f>
        <v>4</v>
      </c>
      <c r="J47" s="244" t="str">
        <f>SWOT[[#This Row],[Item]]&amp;": "&amp;SWOT[[#This Row],[Description]]&amp;" ("&amp;SWOT[[#This Row],[Origination (Source) of Item]]&amp;")"&amp;" (Total Score: "&amp;SWOT[[#This Row],[Total Score]]&amp;")"</f>
        <v>Multi-Front Price Pressure: Simultaneous price competition from adversaries with different cost structures and strategic motivations, creating margin compression across both domestic and international markets that threatens profitability and limits capital available for continued market development investments. (OA Analysis) (Total Score: 4)</v>
      </c>
    </row>
    <row r="48" spans="1:10" ht="45" x14ac:dyDescent="0.15">
      <c r="A48" s="244">
        <f>_xlfn.XLOOKUP(SWOT[[#This Row],[Category]],SWOT_Category[Category],SWOT_Category['#])</f>
        <v>4</v>
      </c>
      <c r="B48" s="238" t="s">
        <v>1225</v>
      </c>
      <c r="C48" s="239" t="s">
        <v>1230</v>
      </c>
      <c r="D48" s="240" t="s">
        <v>15</v>
      </c>
      <c r="E48" s="240" t="s">
        <v>433</v>
      </c>
      <c r="F48" s="241"/>
      <c r="G48" s="240">
        <v>2</v>
      </c>
      <c r="H48" s="240">
        <v>2</v>
      </c>
      <c r="I48" s="242">
        <f>IF(AND(SWOT[[#This Row],[Value / Impact]]&lt;&gt;"",SWOT[[#This Row],[Power / Probability]]&lt;&gt;""),G48*H48,"")</f>
        <v>4</v>
      </c>
      <c r="J48" s="244" t="str">
        <f>SWOT[[#This Row],[Item]]&amp;": "&amp;SWOT[[#This Row],[Description]]&amp;" ("&amp;SWOT[[#This Row],[Origination (Source) of Item]]&amp;")"&amp;" (Total Score: "&amp;SWOT[[#This Row],[Total Score]]&amp;")"</f>
        <v>Market Preemption Risk: Aggressive competitor expansion into secondary Southeast Asian markets could capture key government relationships and contracts before Sentinel's relationship investments mature, particularly in regions where Sentinel lacks presence and cultural familiarity extends partnership timelines beyond competitors' sales cycles. (OA Analysis) (Total Score: 4)</v>
      </c>
    </row>
    <row r="49" spans="1:10" ht="40" customHeight="1" x14ac:dyDescent="0.15">
      <c r="A49" s="244">
        <f>_xlfn.XLOOKUP(SWOT[[#This Row],[Category]],SWOT_Category[Category],SWOT_Category['#])</f>
        <v>4</v>
      </c>
      <c r="B49" s="253" t="s">
        <v>1228</v>
      </c>
      <c r="C49" s="254" t="s">
        <v>1237</v>
      </c>
      <c r="D49" s="248" t="s">
        <v>15</v>
      </c>
      <c r="E49" s="248" t="s">
        <v>433</v>
      </c>
      <c r="F49" s="241"/>
      <c r="G49" s="248">
        <v>2</v>
      </c>
      <c r="H49" s="248">
        <v>2</v>
      </c>
      <c r="I49" s="257">
        <f>IF(AND(SWOT[[#This Row],[Value / Impact]]&lt;&gt;"",SWOT[[#This Row],[Power / Probability]]&lt;&gt;""),G49*H49,"")</f>
        <v>4</v>
      </c>
      <c r="J49" s="244" t="str">
        <f>SWOT[[#This Row],[Item]]&amp;": "&amp;SWOT[[#This Row],[Description]]&amp;" ("&amp;SWOT[[#This Row],[Origination (Source) of Item]]&amp;")"&amp;" (Total Score: "&amp;SWOT[[#This Row],[Total Score]]&amp;")"</f>
        <v>Resource Fragmentation: Responding simultaneously to multiple competitive threats—new product competition, price wars, market preemption, and technology races—forces difficult strategic trade-offs and risks fragmenting Sentinel's limited capital, engineering talent, and leadership focus across multiple fronts rather than concentrating resources on decisive advantages. (OA Analysis) (Total Score: 4)</v>
      </c>
    </row>
    <row r="50" spans="1:10" ht="45" x14ac:dyDescent="0.15">
      <c r="A50" s="246">
        <f>_xlfn.XLOOKUP(SWOT[[#This Row],[Category]],SWOT_Category[Category],SWOT_Category['#])</f>
        <v>4</v>
      </c>
      <c r="B50" s="57" t="s">
        <v>1287</v>
      </c>
      <c r="C50" s="244" t="s">
        <v>1288</v>
      </c>
      <c r="D50" s="244" t="s">
        <v>15</v>
      </c>
      <c r="E50" s="239" t="s">
        <v>1240</v>
      </c>
      <c r="F50" s="244"/>
      <c r="G50" s="244">
        <v>2</v>
      </c>
      <c r="H50" s="244">
        <v>2</v>
      </c>
      <c r="I50" s="245">
        <f>IF(AND(SWOT[[#This Row],[Value / Impact]]&lt;&gt;"",SWOT[[#This Row],[Power / Probability]]&lt;&gt;""),G50*H50,"")</f>
        <v>4</v>
      </c>
      <c r="J50" s="246" t="str">
        <f>SWOT[[#This Row],[Item]]&amp;": "&amp;SWOT[[#This Row],[Description]]&amp;" ("&amp;SWOT[[#This Row],[Origination (Source) of Item]]&amp;")"&amp;" (Total Score: "&amp;SWOT[[#This Row],[Total Score]]&amp;")"</f>
        <v>Geopolitical Exit Pressure: Geopolitical volatility eliminates patient capital as shareholders demand immediate Southeast Asian exit forcing fire-sale asset liquidation, while stock price collapse makes hostile takeover viable threatening organizational independence and strategic continuity. (Future 1 - Crisis) (Total Score: 4)</v>
      </c>
    </row>
  </sheetData>
  <mergeCells count="2">
    <mergeCell ref="A2:J2"/>
    <mergeCell ref="A1:J1"/>
  </mergeCells>
  <pageMargins left="0.7" right="0.7" top="0.75" bottom="0.75" header="0.3" footer="0.3"/>
  <pageSetup orientation="portrait" horizontalDpi="0" verticalDpi="0"/>
  <tableParts count="1">
    <tablePart r:id="rId1"/>
  </tableParts>
  <extLst>
    <ext xmlns:x14="http://schemas.microsoft.com/office/spreadsheetml/2009/9/main" uri="{CCE6A557-97BC-4b89-ADB6-D9C93CAAB3DF}">
      <x14:dataValidations xmlns:xm="http://schemas.microsoft.com/office/excel/2006/main" count="3">
        <x14:dataValidation type="list" allowBlank="1" showInputMessage="1" showErrorMessage="1" xr:uid="{DE40AB7A-04D7-8B41-B9E3-597B3F96BDF3}">
          <x14:formula1>
            <xm:f>Lists!$AV$3:$AV$6</xm:f>
          </x14:formula1>
          <xm:sqref>D4:D50</xm:sqref>
        </x14:dataValidation>
        <x14:dataValidation type="list" allowBlank="1" showInputMessage="1" showErrorMessage="1" xr:uid="{77FB4205-A683-B847-B63B-EAECBCF40263}">
          <x14:formula1>
            <xm:f>Lists!$AY$3:$AY$5</xm:f>
          </x14:formula1>
          <xm:sqref>F4:F50</xm:sqref>
        </x14:dataValidation>
        <x14:dataValidation type="list" allowBlank="1" showInputMessage="1" showErrorMessage="1" xr:uid="{5A61DA9B-8DC9-3840-98AC-298BE4531A6C}">
          <x14:formula1>
            <xm:f>Lists!$BB$3:$BB$5</xm:f>
          </x14:formula1>
          <xm:sqref>G4:H50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6447C-EBE3-754F-A488-3FC011D12E92}">
  <sheetPr>
    <tabColor theme="9" tint="-0.499984740745262"/>
  </sheetPr>
  <dimension ref="A1:R120"/>
  <sheetViews>
    <sheetView workbookViewId="0">
      <selection sqref="A1:R1"/>
    </sheetView>
  </sheetViews>
  <sheetFormatPr baseColWidth="10" defaultRowHeight="14" x14ac:dyDescent="0.15"/>
  <cols>
    <col min="1" max="1" width="6.5" style="6" customWidth="1"/>
    <col min="2" max="2" width="19.5" style="6" bestFit="1" customWidth="1"/>
    <col min="3" max="3" width="17" style="6" bestFit="1" customWidth="1"/>
    <col min="4" max="4" width="15" style="6" bestFit="1" customWidth="1"/>
    <col min="5" max="5" width="22" style="6" bestFit="1" customWidth="1"/>
    <col min="6" max="6" width="14.6640625" style="6" bestFit="1" customWidth="1"/>
    <col min="7" max="7" width="19.6640625" style="6" customWidth="1"/>
    <col min="8" max="8" width="14.6640625" style="6" bestFit="1" customWidth="1"/>
    <col min="9" max="10" width="19.6640625" style="6" customWidth="1"/>
    <col min="11" max="16" width="29.5" style="6" customWidth="1"/>
    <col min="17" max="17" width="33" style="6" bestFit="1" customWidth="1"/>
    <col min="18" max="18" width="41.33203125" style="6" customWidth="1"/>
    <col min="19" max="19" width="14.5" style="6" bestFit="1" customWidth="1"/>
    <col min="20" max="16384" width="10.83203125" style="6"/>
  </cols>
  <sheetData>
    <row r="1" spans="1:18" ht="17" x14ac:dyDescent="0.25">
      <c r="A1" s="448" t="s">
        <v>138</v>
      </c>
      <c r="B1" s="448"/>
      <c r="C1" s="448"/>
      <c r="D1" s="448"/>
      <c r="E1" s="448"/>
      <c r="F1" s="448"/>
      <c r="G1" s="448"/>
      <c r="H1" s="448"/>
      <c r="I1" s="448"/>
      <c r="J1" s="448"/>
      <c r="K1" s="448"/>
      <c r="L1" s="448"/>
      <c r="M1" s="448"/>
      <c r="N1" s="448"/>
      <c r="O1" s="448"/>
      <c r="P1" s="448"/>
      <c r="Q1" s="448"/>
      <c r="R1" s="448"/>
    </row>
    <row r="2" spans="1:18" ht="16" customHeight="1" x14ac:dyDescent="0.2">
      <c r="A2" s="523" t="s">
        <v>2252</v>
      </c>
      <c r="B2" s="524"/>
      <c r="C2" s="524"/>
      <c r="D2" s="525"/>
      <c r="E2" s="526" t="s">
        <v>2253</v>
      </c>
      <c r="F2" s="525"/>
      <c r="G2" s="526" t="s">
        <v>2254</v>
      </c>
      <c r="H2" s="524"/>
      <c r="I2" s="524"/>
      <c r="J2" s="524"/>
      <c r="K2" s="524"/>
      <c r="L2" s="525"/>
      <c r="M2" s="526" t="s">
        <v>2255</v>
      </c>
      <c r="N2" s="524"/>
      <c r="O2" s="524"/>
      <c r="P2" s="525"/>
      <c r="Q2" s="54" t="s">
        <v>2256</v>
      </c>
      <c r="R2" s="346"/>
    </row>
    <row r="3" spans="1:18" ht="16" x14ac:dyDescent="0.15">
      <c r="A3" s="210" t="s">
        <v>40</v>
      </c>
      <c r="B3" s="210" t="s">
        <v>247</v>
      </c>
      <c r="C3" s="210" t="s">
        <v>261</v>
      </c>
      <c r="D3" s="210" t="s">
        <v>257</v>
      </c>
      <c r="E3" s="210" t="s">
        <v>252</v>
      </c>
      <c r="F3" s="210" t="s">
        <v>248</v>
      </c>
      <c r="G3" s="210" t="s">
        <v>249</v>
      </c>
      <c r="H3" s="210" t="s">
        <v>264</v>
      </c>
      <c r="I3" s="210" t="s">
        <v>267</v>
      </c>
      <c r="J3" s="210" t="s">
        <v>268</v>
      </c>
      <c r="K3" s="210" t="s">
        <v>265</v>
      </c>
      <c r="L3" s="210" t="s">
        <v>266</v>
      </c>
      <c r="M3" s="210" t="s">
        <v>269</v>
      </c>
      <c r="N3" s="34" t="s">
        <v>263</v>
      </c>
      <c r="O3" s="34" t="s">
        <v>251</v>
      </c>
      <c r="P3" s="34" t="s">
        <v>262</v>
      </c>
      <c r="Q3" s="34" t="s">
        <v>250</v>
      </c>
      <c r="R3" s="347" t="s">
        <v>174</v>
      </c>
    </row>
    <row r="4" spans="1:18" ht="32" x14ac:dyDescent="0.15">
      <c r="A4" s="207">
        <v>1</v>
      </c>
      <c r="B4" s="209" t="s">
        <v>488</v>
      </c>
      <c r="C4" s="209" t="s">
        <v>258</v>
      </c>
      <c r="D4" s="209" t="s">
        <v>256</v>
      </c>
      <c r="E4" s="209" t="s">
        <v>253</v>
      </c>
      <c r="F4" s="209" t="s">
        <v>192</v>
      </c>
      <c r="G4" s="209" t="s">
        <v>489</v>
      </c>
      <c r="H4" s="209" t="s">
        <v>490</v>
      </c>
      <c r="I4" s="209" t="s">
        <v>491</v>
      </c>
      <c r="J4" s="209" t="s">
        <v>492</v>
      </c>
      <c r="K4" s="209" t="s">
        <v>493</v>
      </c>
      <c r="L4" s="209" t="s">
        <v>1073</v>
      </c>
      <c r="M4" s="209" t="s">
        <v>494</v>
      </c>
      <c r="N4" s="47" t="s">
        <v>495</v>
      </c>
      <c r="O4" s="47" t="s">
        <v>496</v>
      </c>
      <c r="P4" s="47" t="s">
        <v>497</v>
      </c>
      <c r="Q4" s="50" t="s">
        <v>498</v>
      </c>
      <c r="R4" s="47" t="str">
        <f>OA_Analysis[[#This Row],[Actor Name]]&amp;": "&amp;OA_Analysis[[#This Row],[Operational Signpost]]</f>
        <v>Aegis Armorworks: Product launches</v>
      </c>
    </row>
    <row r="5" spans="1:18" ht="30" x14ac:dyDescent="0.15">
      <c r="A5" s="207">
        <v>2</v>
      </c>
      <c r="B5" s="209" t="s">
        <v>499</v>
      </c>
      <c r="C5" s="209" t="s">
        <v>260</v>
      </c>
      <c r="D5" s="209" t="s">
        <v>35</v>
      </c>
      <c r="E5" s="209" t="s">
        <v>38</v>
      </c>
      <c r="F5" s="209" t="s">
        <v>213</v>
      </c>
      <c r="G5" s="209" t="s">
        <v>500</v>
      </c>
      <c r="H5" s="209" t="s">
        <v>465</v>
      </c>
      <c r="I5" s="209" t="s">
        <v>501</v>
      </c>
      <c r="J5" s="209" t="s">
        <v>502</v>
      </c>
      <c r="K5" s="209" t="s">
        <v>503</v>
      </c>
      <c r="L5" s="209"/>
      <c r="M5" s="209" t="s">
        <v>504</v>
      </c>
      <c r="N5" s="47" t="s">
        <v>505</v>
      </c>
      <c r="O5" s="47" t="s">
        <v>506</v>
      </c>
      <c r="P5" s="47" t="s">
        <v>507</v>
      </c>
      <c r="Q5" s="50" t="s">
        <v>2111</v>
      </c>
      <c r="R5" s="47" t="str">
        <f>OA_Analysis[[#This Row],[Actor Name]]&amp;": "&amp;OA_Analysis[[#This Row],[Operational Signpost]]</f>
        <v>BattleForge Industries: Patent filings</v>
      </c>
    </row>
    <row r="6" spans="1:18" ht="30" x14ac:dyDescent="0.15">
      <c r="A6" s="207">
        <v>3</v>
      </c>
      <c r="B6" s="209" t="s">
        <v>508</v>
      </c>
      <c r="C6" s="209" t="s">
        <v>260</v>
      </c>
      <c r="D6" s="209" t="s">
        <v>254</v>
      </c>
      <c r="E6" s="209" t="s">
        <v>38</v>
      </c>
      <c r="F6" s="209" t="s">
        <v>213</v>
      </c>
      <c r="G6" s="209" t="s">
        <v>509</v>
      </c>
      <c r="H6" s="209" t="s">
        <v>510</v>
      </c>
      <c r="I6" s="209" t="s">
        <v>511</v>
      </c>
      <c r="J6" s="209" t="s">
        <v>512</v>
      </c>
      <c r="K6" s="209" t="s">
        <v>513</v>
      </c>
      <c r="L6" s="209"/>
      <c r="M6" s="209" t="s">
        <v>514</v>
      </c>
      <c r="N6" s="47" t="s">
        <v>515</v>
      </c>
      <c r="O6" s="47" t="s">
        <v>516</v>
      </c>
      <c r="P6" s="47" t="s">
        <v>517</v>
      </c>
      <c r="Q6" s="50" t="s">
        <v>518</v>
      </c>
      <c r="R6" s="47" t="str">
        <f>OA_Analysis[[#This Row],[Actor Name]]&amp;": "&amp;OA_Analysis[[#This Row],[Operational Signpost]]</f>
        <v>Bulwark Manufacturing: Factory expansions</v>
      </c>
    </row>
    <row r="7" spans="1:18" ht="30" x14ac:dyDescent="0.15">
      <c r="A7" s="207">
        <v>4</v>
      </c>
      <c r="B7" s="209" t="s">
        <v>519</v>
      </c>
      <c r="C7" s="209" t="s">
        <v>260</v>
      </c>
      <c r="D7" s="209" t="s">
        <v>35</v>
      </c>
      <c r="E7" s="209" t="s">
        <v>38</v>
      </c>
      <c r="F7" s="209" t="s">
        <v>213</v>
      </c>
      <c r="G7" s="209" t="s">
        <v>520</v>
      </c>
      <c r="H7" s="209" t="s">
        <v>510</v>
      </c>
      <c r="I7" s="209" t="s">
        <v>521</v>
      </c>
      <c r="J7" s="209" t="s">
        <v>522</v>
      </c>
      <c r="K7" s="209" t="s">
        <v>523</v>
      </c>
      <c r="L7" s="209"/>
      <c r="M7" s="209" t="s">
        <v>524</v>
      </c>
      <c r="N7" s="47" t="s">
        <v>525</v>
      </c>
      <c r="O7" s="47" t="s">
        <v>526</v>
      </c>
      <c r="P7" s="47" t="s">
        <v>527</v>
      </c>
      <c r="Q7" s="50" t="s">
        <v>528</v>
      </c>
      <c r="R7" s="47" t="str">
        <f>OA_Analysis[[#This Row],[Actor Name]]&amp;": "&amp;OA_Analysis[[#This Row],[Operational Signpost]]</f>
        <v>Fortress Dynamics: Supplier agreements</v>
      </c>
    </row>
    <row r="8" spans="1:18" ht="32" x14ac:dyDescent="0.15">
      <c r="A8" s="207">
        <v>5</v>
      </c>
      <c r="B8" s="209" t="s">
        <v>529</v>
      </c>
      <c r="C8" s="209" t="s">
        <v>258</v>
      </c>
      <c r="D8" s="209" t="s">
        <v>256</v>
      </c>
      <c r="E8" s="209" t="s">
        <v>253</v>
      </c>
      <c r="F8" s="209" t="s">
        <v>192</v>
      </c>
      <c r="G8" s="209" t="s">
        <v>530</v>
      </c>
      <c r="H8" s="209" t="s">
        <v>531</v>
      </c>
      <c r="I8" s="209" t="s">
        <v>532</v>
      </c>
      <c r="J8" s="209" t="s">
        <v>533</v>
      </c>
      <c r="K8" s="209" t="s">
        <v>534</v>
      </c>
      <c r="L8" s="209" t="s">
        <v>1072</v>
      </c>
      <c r="M8" s="209" t="s">
        <v>535</v>
      </c>
      <c r="N8" s="47" t="s">
        <v>536</v>
      </c>
      <c r="O8" s="47" t="s">
        <v>537</v>
      </c>
      <c r="P8" s="47" t="s">
        <v>538</v>
      </c>
      <c r="Q8" s="50" t="s">
        <v>2112</v>
      </c>
      <c r="R8" s="47" t="str">
        <f>OA_Analysis[[#This Row],[Actor Name]]&amp;": "&amp;OA_Analysis[[#This Row],[Operational Signpost]]</f>
        <v>Ironclad Dynamics: Increased production rates</v>
      </c>
    </row>
    <row r="9" spans="1:18" ht="32" x14ac:dyDescent="0.15">
      <c r="A9" s="207">
        <v>6</v>
      </c>
      <c r="B9" s="209" t="s">
        <v>539</v>
      </c>
      <c r="C9" s="209" t="s">
        <v>259</v>
      </c>
      <c r="D9" s="209" t="s">
        <v>254</v>
      </c>
      <c r="E9" s="209" t="s">
        <v>189</v>
      </c>
      <c r="F9" s="209" t="s">
        <v>213</v>
      </c>
      <c r="G9" s="209" t="s">
        <v>540</v>
      </c>
      <c r="H9" s="209" t="s">
        <v>465</v>
      </c>
      <c r="I9" s="209" t="s">
        <v>541</v>
      </c>
      <c r="J9" s="209" t="s">
        <v>542</v>
      </c>
      <c r="K9" s="209" t="s">
        <v>543</v>
      </c>
      <c r="L9" s="209"/>
      <c r="M9" s="209" t="s">
        <v>544</v>
      </c>
      <c r="N9" s="47" t="s">
        <v>545</v>
      </c>
      <c r="O9" s="47" t="s">
        <v>546</v>
      </c>
      <c r="P9" s="47" t="s">
        <v>547</v>
      </c>
      <c r="Q9" s="50" t="s">
        <v>548</v>
      </c>
      <c r="R9" s="47" t="str">
        <f>OA_Analysis[[#This Row],[Actor Name]]&amp;": "&amp;OA_Analysis[[#This Row],[Operational Signpost]]</f>
        <v>Ironclad Systems: New funding announcements</v>
      </c>
    </row>
    <row r="10" spans="1:18" ht="32" x14ac:dyDescent="0.15">
      <c r="A10" s="207">
        <v>7</v>
      </c>
      <c r="B10" s="209" t="s">
        <v>549</v>
      </c>
      <c r="C10" s="209" t="s">
        <v>258</v>
      </c>
      <c r="D10" s="209" t="s">
        <v>256</v>
      </c>
      <c r="E10" s="209" t="s">
        <v>253</v>
      </c>
      <c r="F10" s="209" t="s">
        <v>192</v>
      </c>
      <c r="G10" s="209" t="s">
        <v>550</v>
      </c>
      <c r="H10" s="209" t="s">
        <v>551</v>
      </c>
      <c r="I10" s="209" t="s">
        <v>552</v>
      </c>
      <c r="J10" s="209" t="s">
        <v>553</v>
      </c>
      <c r="K10" s="209" t="s">
        <v>554</v>
      </c>
      <c r="L10" s="209" t="s">
        <v>1073</v>
      </c>
      <c r="M10" s="209" t="s">
        <v>555</v>
      </c>
      <c r="N10" s="47" t="s">
        <v>556</v>
      </c>
      <c r="O10" s="47" t="s">
        <v>557</v>
      </c>
      <c r="P10" s="47" t="s">
        <v>558</v>
      </c>
      <c r="Q10" s="50" t="s">
        <v>2113</v>
      </c>
      <c r="R10" s="47" t="str">
        <f>OA_Analysis[[#This Row],[Actor Name]]&amp;": "&amp;OA_Analysis[[#This Row],[Operational Signpost]]</f>
        <v>ShieldTech Systems: Market entry in new regions</v>
      </c>
    </row>
    <row r="11" spans="1:18" ht="30" x14ac:dyDescent="0.15">
      <c r="A11" s="207">
        <v>8</v>
      </c>
      <c r="B11" s="209" t="s">
        <v>559</v>
      </c>
      <c r="C11" s="209" t="s">
        <v>259</v>
      </c>
      <c r="D11" s="209" t="s">
        <v>254</v>
      </c>
      <c r="E11" s="209" t="s">
        <v>189</v>
      </c>
      <c r="F11" s="209" t="s">
        <v>213</v>
      </c>
      <c r="G11" s="209" t="s">
        <v>560</v>
      </c>
      <c r="H11" s="209" t="s">
        <v>465</v>
      </c>
      <c r="I11" s="209" t="s">
        <v>561</v>
      </c>
      <c r="J11" s="209" t="s">
        <v>562</v>
      </c>
      <c r="K11" s="209" t="s">
        <v>563</v>
      </c>
      <c r="L11" s="209"/>
      <c r="M11" s="209" t="s">
        <v>524</v>
      </c>
      <c r="N11" s="47" t="s">
        <v>525</v>
      </c>
      <c r="O11" s="47" t="s">
        <v>564</v>
      </c>
      <c r="P11" s="47" t="s">
        <v>565</v>
      </c>
      <c r="Q11" s="50" t="s">
        <v>2114</v>
      </c>
      <c r="R11" s="47" t="str">
        <f>OA_Analysis[[#This Row],[Actor Name]]&amp;": "&amp;OA_Analysis[[#This Row],[Operational Signpost]]</f>
        <v>Steel Fortress Inc.: New supplier contracts</v>
      </c>
    </row>
    <row r="12" spans="1:18" ht="32" x14ac:dyDescent="0.15">
      <c r="A12" s="207">
        <v>9</v>
      </c>
      <c r="B12" s="209" t="s">
        <v>566</v>
      </c>
      <c r="C12" s="209" t="s">
        <v>258</v>
      </c>
      <c r="D12" s="209" t="s">
        <v>256</v>
      </c>
      <c r="E12" s="209" t="s">
        <v>253</v>
      </c>
      <c r="F12" s="209" t="s">
        <v>192</v>
      </c>
      <c r="G12" s="209" t="s">
        <v>530</v>
      </c>
      <c r="H12" s="209" t="s">
        <v>531</v>
      </c>
      <c r="I12" s="209" t="s">
        <v>567</v>
      </c>
      <c r="J12" s="209" t="s">
        <v>533</v>
      </c>
      <c r="K12" s="209" t="s">
        <v>568</v>
      </c>
      <c r="L12" s="209" t="s">
        <v>1072</v>
      </c>
      <c r="M12" s="209" t="s">
        <v>569</v>
      </c>
      <c r="N12" s="47" t="s">
        <v>570</v>
      </c>
      <c r="O12" s="47" t="s">
        <v>571</v>
      </c>
      <c r="P12" s="47" t="s">
        <v>572</v>
      </c>
      <c r="Q12" s="50" t="s">
        <v>573</v>
      </c>
      <c r="R12" s="47" t="str">
        <f>OA_Analysis[[#This Row],[Actor Name]]&amp;": "&amp;OA_Analysis[[#This Row],[Operational Signpost]]</f>
        <v>Titan Defense Corp: Increased R&amp;D budgets</v>
      </c>
    </row>
    <row r="13" spans="1:18" ht="30" x14ac:dyDescent="0.15">
      <c r="A13" s="207">
        <v>10</v>
      </c>
      <c r="B13" s="209" t="s">
        <v>583</v>
      </c>
      <c r="C13" s="209" t="s">
        <v>259</v>
      </c>
      <c r="D13" s="209" t="s">
        <v>255</v>
      </c>
      <c r="E13" s="209" t="s">
        <v>189</v>
      </c>
      <c r="F13" s="209" t="s">
        <v>213</v>
      </c>
      <c r="G13" s="209" t="s">
        <v>584</v>
      </c>
      <c r="H13" s="209" t="s">
        <v>465</v>
      </c>
      <c r="I13" s="209" t="s">
        <v>585</v>
      </c>
      <c r="J13" s="209" t="s">
        <v>586</v>
      </c>
      <c r="K13" s="209" t="s">
        <v>587</v>
      </c>
      <c r="L13" s="209"/>
      <c r="M13" s="209" t="s">
        <v>588</v>
      </c>
      <c r="N13" s="47" t="s">
        <v>589</v>
      </c>
      <c r="O13" s="47" t="s">
        <v>590</v>
      </c>
      <c r="P13" s="47" t="s">
        <v>591</v>
      </c>
      <c r="Q13" s="50" t="s">
        <v>592</v>
      </c>
      <c r="R13" s="47" t="str">
        <f>OA_Analysis[[#This Row],[Actor Name]]&amp;": "&amp;OA_Analysis[[#This Row],[Operational Signpost]]</f>
        <v>Vanguard Vehicles: Alliance formations</v>
      </c>
    </row>
    <row r="14" spans="1:18" ht="32" x14ac:dyDescent="0.15">
      <c r="A14" s="207">
        <v>11</v>
      </c>
      <c r="B14" s="209" t="s">
        <v>574</v>
      </c>
      <c r="C14" s="209" t="s">
        <v>260</v>
      </c>
      <c r="D14" s="209" t="s">
        <v>35</v>
      </c>
      <c r="E14" s="209" t="s">
        <v>38</v>
      </c>
      <c r="F14" s="209" t="s">
        <v>213</v>
      </c>
      <c r="G14" s="209" t="s">
        <v>575</v>
      </c>
      <c r="H14" s="209" t="s">
        <v>465</v>
      </c>
      <c r="I14" s="209" t="s">
        <v>576</v>
      </c>
      <c r="J14" s="209" t="s">
        <v>577</v>
      </c>
      <c r="K14" s="209" t="s">
        <v>578</v>
      </c>
      <c r="L14" s="209"/>
      <c r="M14" s="209" t="s">
        <v>579</v>
      </c>
      <c r="N14" s="47" t="s">
        <v>580</v>
      </c>
      <c r="O14" s="47" t="s">
        <v>581</v>
      </c>
      <c r="P14" s="47" t="s">
        <v>582</v>
      </c>
      <c r="Q14" s="50" t="s">
        <v>2115</v>
      </c>
      <c r="R14" s="47" t="str">
        <f>OA_Analysis[[#This Row],[Actor Name]]&amp;": "&amp;OA_Analysis[[#This Row],[Operational Signpost]]</f>
        <v>Titanium Armor Works: R&amp;D announcements</v>
      </c>
    </row>
    <row r="15" spans="1:18" ht="15" x14ac:dyDescent="0.2">
      <c r="A15" s="119"/>
      <c r="B15" s="119"/>
      <c r="C15" s="119"/>
      <c r="D15" s="119"/>
      <c r="E15" s="119"/>
      <c r="F15" s="119"/>
      <c r="G15" s="119"/>
      <c r="H15" s="119"/>
      <c r="I15" s="119"/>
      <c r="J15" s="119"/>
      <c r="K15" s="119"/>
      <c r="L15" s="119"/>
      <c r="M15" s="119"/>
    </row>
    <row r="16" spans="1:18" ht="15" x14ac:dyDescent="0.2">
      <c r="A16" s="119"/>
      <c r="B16" s="119"/>
      <c r="C16" s="119"/>
      <c r="D16" s="119"/>
      <c r="E16" s="119"/>
      <c r="F16" s="119"/>
      <c r="G16" s="119"/>
      <c r="H16" s="119"/>
      <c r="I16" s="119"/>
      <c r="J16" s="119"/>
      <c r="K16" s="119"/>
      <c r="L16" s="119"/>
      <c r="M16" s="119"/>
    </row>
    <row r="17" spans="1:13" ht="15" x14ac:dyDescent="0.2">
      <c r="A17" s="119"/>
      <c r="B17" s="119"/>
      <c r="C17" s="119"/>
      <c r="D17" s="119"/>
      <c r="E17" s="119"/>
      <c r="F17" s="119"/>
      <c r="G17" s="119"/>
      <c r="H17" s="119"/>
      <c r="I17" s="119"/>
      <c r="J17" s="119"/>
      <c r="K17" s="119"/>
      <c r="L17" s="119"/>
      <c r="M17" s="119"/>
    </row>
    <row r="18" spans="1:13" ht="15" x14ac:dyDescent="0.2">
      <c r="A18" s="119"/>
      <c r="B18" s="119"/>
      <c r="C18" s="119"/>
      <c r="D18" s="119"/>
      <c r="E18" s="119"/>
      <c r="F18" s="119"/>
      <c r="G18" s="119"/>
      <c r="H18" s="119"/>
      <c r="I18" s="119"/>
      <c r="J18" s="119"/>
      <c r="K18" s="119"/>
      <c r="L18" s="119"/>
      <c r="M18" s="119"/>
    </row>
    <row r="19" spans="1:13" ht="15" x14ac:dyDescent="0.2">
      <c r="A19" s="119"/>
      <c r="B19" s="119"/>
      <c r="C19" s="119"/>
      <c r="D19" s="119"/>
      <c r="E19" s="119"/>
      <c r="F19" s="119"/>
      <c r="G19" s="119"/>
      <c r="H19" s="119"/>
      <c r="I19" s="119"/>
      <c r="J19" s="119"/>
      <c r="K19" s="119"/>
      <c r="L19" s="119"/>
      <c r="M19" s="119"/>
    </row>
    <row r="20" spans="1:13" ht="15" x14ac:dyDescent="0.2">
      <c r="A20" s="119"/>
      <c r="B20" s="119"/>
      <c r="C20" s="119"/>
      <c r="D20" s="119"/>
      <c r="E20" s="119"/>
      <c r="F20" s="119"/>
      <c r="G20" s="119"/>
      <c r="H20" s="119"/>
      <c r="I20" s="119"/>
      <c r="J20" s="119"/>
      <c r="K20" s="119"/>
      <c r="L20" s="119"/>
      <c r="M20" s="119"/>
    </row>
    <row r="21" spans="1:13" ht="15" x14ac:dyDescent="0.2">
      <c r="A21" s="119"/>
      <c r="B21" s="119"/>
      <c r="C21" s="119"/>
      <c r="D21" s="119"/>
      <c r="E21" s="119"/>
      <c r="F21" s="119"/>
      <c r="G21" s="119"/>
      <c r="H21" s="119"/>
      <c r="I21" s="119"/>
      <c r="J21" s="119"/>
      <c r="K21" s="119"/>
      <c r="L21" s="119"/>
      <c r="M21" s="119"/>
    </row>
    <row r="22" spans="1:13" ht="15" x14ac:dyDescent="0.2">
      <c r="A22" s="119"/>
      <c r="B22" s="119"/>
      <c r="C22" s="119"/>
      <c r="D22" s="119"/>
      <c r="E22" s="119"/>
      <c r="F22" s="119"/>
      <c r="G22" s="119"/>
      <c r="H22" s="119"/>
      <c r="I22" s="119"/>
      <c r="J22" s="119"/>
      <c r="K22" s="119"/>
      <c r="L22" s="119"/>
      <c r="M22" s="119"/>
    </row>
    <row r="23" spans="1:13" ht="15" x14ac:dyDescent="0.2">
      <c r="A23" s="119"/>
      <c r="B23" s="119"/>
      <c r="C23" s="119"/>
      <c r="D23" s="119"/>
      <c r="E23" s="119"/>
      <c r="F23" s="119"/>
      <c r="G23" s="119"/>
      <c r="H23" s="119"/>
      <c r="I23" s="119"/>
      <c r="J23" s="119"/>
      <c r="K23" s="119"/>
      <c r="L23" s="119"/>
      <c r="M23" s="119"/>
    </row>
    <row r="24" spans="1:13" ht="15" x14ac:dyDescent="0.2">
      <c r="A24" s="119"/>
      <c r="B24" s="119"/>
      <c r="C24" s="119"/>
      <c r="D24" s="119"/>
      <c r="E24" s="119"/>
      <c r="F24" s="119"/>
      <c r="G24" s="119"/>
      <c r="H24" s="119"/>
      <c r="I24" s="119"/>
      <c r="J24" s="119"/>
      <c r="K24" s="119"/>
      <c r="L24" s="119"/>
      <c r="M24" s="119"/>
    </row>
    <row r="25" spans="1:13" ht="15" x14ac:dyDescent="0.2">
      <c r="A25" s="119"/>
      <c r="B25" s="119"/>
      <c r="C25" s="119"/>
      <c r="D25" s="119"/>
      <c r="E25" s="119"/>
      <c r="F25" s="119"/>
      <c r="G25" s="119"/>
      <c r="H25" s="119"/>
      <c r="I25" s="119"/>
      <c r="J25" s="119"/>
      <c r="K25" s="119"/>
      <c r="L25" s="119"/>
      <c r="M25" s="119"/>
    </row>
    <row r="26" spans="1:13" ht="15" x14ac:dyDescent="0.2">
      <c r="A26" s="119"/>
      <c r="B26" s="119"/>
      <c r="C26" s="119"/>
      <c r="D26" s="119"/>
      <c r="E26" s="119"/>
      <c r="F26" s="119"/>
      <c r="G26" s="119"/>
      <c r="H26" s="119"/>
      <c r="I26" s="119"/>
      <c r="J26" s="119"/>
      <c r="K26" s="119"/>
      <c r="L26" s="119"/>
      <c r="M26" s="119"/>
    </row>
    <row r="27" spans="1:13" ht="15" x14ac:dyDescent="0.2">
      <c r="A27" s="119"/>
      <c r="B27" s="119"/>
      <c r="C27" s="119"/>
      <c r="D27" s="119"/>
      <c r="E27" s="119"/>
      <c r="F27" s="119"/>
      <c r="G27" s="119"/>
      <c r="H27" s="119"/>
      <c r="I27" s="119"/>
      <c r="J27" s="119"/>
      <c r="K27" s="119"/>
      <c r="L27" s="119"/>
      <c r="M27" s="119"/>
    </row>
    <row r="28" spans="1:13" ht="15" x14ac:dyDescent="0.2">
      <c r="A28" s="119"/>
      <c r="B28" s="119"/>
      <c r="C28" s="119"/>
      <c r="D28" s="119"/>
      <c r="E28" s="119"/>
      <c r="F28" s="119"/>
      <c r="G28" s="119"/>
      <c r="H28" s="119"/>
      <c r="I28" s="119"/>
      <c r="J28" s="119"/>
      <c r="K28" s="119"/>
      <c r="L28" s="119"/>
      <c r="M28" s="119"/>
    </row>
    <row r="29" spans="1:13" ht="15" x14ac:dyDescent="0.2">
      <c r="A29" s="119"/>
      <c r="B29" s="119"/>
      <c r="C29" s="119"/>
      <c r="D29" s="119"/>
      <c r="E29" s="119"/>
      <c r="F29" s="119"/>
      <c r="G29" s="119"/>
      <c r="H29" s="119"/>
      <c r="I29" s="119"/>
      <c r="J29" s="119"/>
      <c r="K29" s="119"/>
      <c r="L29" s="119"/>
      <c r="M29" s="119"/>
    </row>
    <row r="30" spans="1:13" ht="15" x14ac:dyDescent="0.2">
      <c r="A30" s="119"/>
      <c r="B30" s="119"/>
      <c r="C30" s="119"/>
      <c r="D30" s="119"/>
      <c r="E30" s="119"/>
      <c r="F30" s="119"/>
      <c r="G30" s="119"/>
      <c r="H30" s="119"/>
      <c r="I30" s="119"/>
      <c r="J30" s="119"/>
      <c r="K30" s="119"/>
      <c r="L30" s="119"/>
      <c r="M30" s="119"/>
    </row>
    <row r="31" spans="1:13" ht="15" x14ac:dyDescent="0.2">
      <c r="A31" s="119"/>
      <c r="B31" s="119"/>
      <c r="C31" s="119"/>
      <c r="D31" s="119"/>
      <c r="E31" s="119"/>
      <c r="F31" s="119"/>
      <c r="G31" s="119"/>
      <c r="H31" s="119"/>
      <c r="I31" s="119"/>
      <c r="J31" s="119"/>
      <c r="K31" s="119"/>
      <c r="L31" s="119"/>
      <c r="M31" s="119"/>
    </row>
    <row r="32" spans="1:13" ht="15" x14ac:dyDescent="0.2">
      <c r="A32" s="119"/>
      <c r="B32" s="119"/>
      <c r="C32" s="119"/>
      <c r="D32" s="119"/>
      <c r="E32" s="119"/>
      <c r="F32" s="119"/>
      <c r="G32" s="119"/>
      <c r="H32" s="119"/>
      <c r="I32" s="119"/>
      <c r="J32" s="119"/>
      <c r="K32" s="119"/>
      <c r="L32" s="119"/>
      <c r="M32" s="119"/>
    </row>
    <row r="33" spans="1:13" ht="15" x14ac:dyDescent="0.2">
      <c r="A33" s="119"/>
      <c r="B33" s="119"/>
      <c r="C33" s="119"/>
      <c r="D33" s="119"/>
      <c r="E33" s="119"/>
      <c r="F33" s="119"/>
      <c r="G33" s="119"/>
      <c r="H33" s="119"/>
      <c r="I33" s="119"/>
      <c r="J33" s="119"/>
      <c r="K33" s="119"/>
      <c r="L33" s="119"/>
      <c r="M33" s="119"/>
    </row>
    <row r="34" spans="1:13" ht="15" x14ac:dyDescent="0.2">
      <c r="A34" s="119"/>
      <c r="B34" s="119"/>
      <c r="C34" s="119"/>
      <c r="D34" s="119"/>
      <c r="E34" s="119"/>
      <c r="F34" s="119"/>
      <c r="G34" s="119"/>
      <c r="H34" s="119"/>
      <c r="I34" s="119"/>
      <c r="J34" s="119"/>
      <c r="K34" s="119"/>
      <c r="L34" s="119"/>
      <c r="M34" s="119"/>
    </row>
    <row r="35" spans="1:13" ht="15" x14ac:dyDescent="0.2">
      <c r="A35" s="119"/>
      <c r="B35" s="119"/>
      <c r="C35" s="119"/>
      <c r="D35" s="119"/>
      <c r="E35" s="119"/>
      <c r="F35" s="119"/>
      <c r="G35" s="119"/>
      <c r="H35" s="119"/>
      <c r="I35" s="119"/>
      <c r="J35" s="119"/>
      <c r="K35" s="119"/>
      <c r="L35" s="119"/>
      <c r="M35" s="119"/>
    </row>
    <row r="36" spans="1:13" ht="15" x14ac:dyDescent="0.2">
      <c r="A36" s="119"/>
      <c r="B36" s="119"/>
      <c r="C36" s="119"/>
      <c r="D36" s="119"/>
      <c r="E36" s="119"/>
      <c r="F36" s="119"/>
      <c r="G36" s="119"/>
      <c r="H36" s="119"/>
      <c r="I36" s="119"/>
      <c r="J36" s="119"/>
      <c r="K36" s="119"/>
      <c r="L36" s="119"/>
      <c r="M36" s="119"/>
    </row>
    <row r="37" spans="1:13" ht="15" x14ac:dyDescent="0.2">
      <c r="A37" s="119"/>
      <c r="B37" s="119"/>
      <c r="C37" s="119"/>
      <c r="D37" s="119"/>
      <c r="E37" s="119"/>
      <c r="F37" s="119"/>
      <c r="G37" s="119"/>
      <c r="H37" s="119"/>
      <c r="I37" s="119"/>
      <c r="J37" s="119"/>
      <c r="K37" s="119"/>
      <c r="L37" s="119"/>
      <c r="M37" s="119"/>
    </row>
    <row r="38" spans="1:13" ht="15" x14ac:dyDescent="0.2">
      <c r="A38" s="119"/>
      <c r="B38" s="119"/>
      <c r="C38" s="119"/>
      <c r="D38" s="119"/>
      <c r="E38" s="119"/>
      <c r="F38" s="119"/>
      <c r="G38" s="119"/>
      <c r="H38" s="119"/>
      <c r="I38" s="119"/>
      <c r="J38" s="119"/>
      <c r="K38" s="119"/>
      <c r="L38" s="119"/>
      <c r="M38" s="119"/>
    </row>
    <row r="39" spans="1:13" ht="15" x14ac:dyDescent="0.2">
      <c r="A39" s="119"/>
      <c r="B39" s="119"/>
      <c r="C39" s="119"/>
      <c r="D39" s="119"/>
      <c r="E39" s="119"/>
      <c r="F39" s="119"/>
      <c r="G39" s="119"/>
      <c r="H39" s="119"/>
      <c r="I39" s="119"/>
      <c r="J39" s="119"/>
      <c r="K39" s="119"/>
      <c r="L39" s="119"/>
      <c r="M39" s="119"/>
    </row>
    <row r="40" spans="1:13" ht="15" x14ac:dyDescent="0.2">
      <c r="A40" s="119"/>
      <c r="B40" s="119"/>
      <c r="C40" s="119"/>
      <c r="D40" s="119"/>
      <c r="E40" s="119"/>
      <c r="F40" s="119"/>
      <c r="G40" s="119"/>
      <c r="H40" s="119"/>
      <c r="I40" s="119"/>
      <c r="J40" s="119"/>
      <c r="K40" s="119"/>
      <c r="L40" s="119"/>
      <c r="M40" s="119"/>
    </row>
    <row r="41" spans="1:13" ht="15" x14ac:dyDescent="0.2">
      <c r="A41" s="119"/>
      <c r="B41" s="119"/>
      <c r="C41" s="119"/>
      <c r="D41" s="119"/>
      <c r="E41" s="119"/>
      <c r="F41" s="119"/>
      <c r="G41" s="119"/>
      <c r="H41" s="119"/>
      <c r="I41" s="119"/>
      <c r="J41" s="119"/>
      <c r="K41" s="119"/>
      <c r="L41" s="119"/>
      <c r="M41" s="119"/>
    </row>
    <row r="42" spans="1:13" ht="15" x14ac:dyDescent="0.2">
      <c r="A42" s="119"/>
      <c r="B42" s="119"/>
      <c r="C42" s="119"/>
      <c r="D42" s="119"/>
      <c r="E42" s="119"/>
      <c r="F42" s="119"/>
      <c r="G42" s="119"/>
      <c r="H42" s="119"/>
      <c r="I42" s="119"/>
      <c r="J42" s="119"/>
      <c r="K42" s="119"/>
      <c r="L42" s="119"/>
      <c r="M42" s="119"/>
    </row>
    <row r="43" spans="1:13" ht="15" x14ac:dyDescent="0.2">
      <c r="A43" s="119"/>
      <c r="B43" s="119"/>
      <c r="C43" s="119"/>
      <c r="D43" s="119"/>
      <c r="E43" s="119"/>
      <c r="F43" s="119"/>
      <c r="G43" s="119"/>
      <c r="H43" s="119"/>
      <c r="I43" s="119"/>
      <c r="J43" s="119"/>
      <c r="K43" s="119"/>
      <c r="L43" s="119"/>
      <c r="M43" s="119"/>
    </row>
    <row r="44" spans="1:13" ht="15" x14ac:dyDescent="0.2">
      <c r="A44" s="119"/>
      <c r="B44" s="119"/>
      <c r="C44" s="119"/>
      <c r="D44" s="119"/>
      <c r="E44" s="119"/>
      <c r="F44" s="119"/>
      <c r="G44" s="119"/>
      <c r="H44" s="119"/>
      <c r="I44" s="119"/>
      <c r="J44" s="119"/>
      <c r="K44" s="119"/>
      <c r="L44" s="119"/>
      <c r="M44" s="119"/>
    </row>
    <row r="45" spans="1:13" ht="15" x14ac:dyDescent="0.2">
      <c r="A45" s="119"/>
      <c r="B45" s="119"/>
      <c r="C45" s="119"/>
      <c r="D45" s="119"/>
      <c r="E45" s="119"/>
      <c r="F45" s="119"/>
      <c r="G45" s="119"/>
      <c r="H45" s="119"/>
      <c r="I45" s="119"/>
      <c r="J45" s="119"/>
      <c r="K45" s="119"/>
      <c r="L45" s="119"/>
      <c r="M45" s="119"/>
    </row>
    <row r="46" spans="1:13" ht="15" x14ac:dyDescent="0.2">
      <c r="A46" s="119"/>
      <c r="B46" s="119"/>
      <c r="C46" s="119"/>
      <c r="D46" s="119"/>
      <c r="E46" s="119"/>
      <c r="F46" s="119"/>
      <c r="G46" s="119"/>
      <c r="H46" s="119"/>
      <c r="I46" s="119"/>
      <c r="J46" s="119"/>
      <c r="K46" s="119"/>
      <c r="L46" s="119"/>
      <c r="M46" s="119"/>
    </row>
    <row r="47" spans="1:13" ht="15" x14ac:dyDescent="0.2">
      <c r="A47" s="119"/>
      <c r="B47" s="119"/>
      <c r="C47" s="119"/>
      <c r="D47" s="119"/>
      <c r="E47" s="119"/>
      <c r="F47" s="119"/>
      <c r="G47" s="119"/>
      <c r="H47" s="119"/>
      <c r="I47" s="119"/>
      <c r="J47" s="119"/>
      <c r="K47" s="119"/>
      <c r="L47" s="119"/>
      <c r="M47" s="119"/>
    </row>
    <row r="48" spans="1:13" ht="15" x14ac:dyDescent="0.2">
      <c r="A48" s="119"/>
      <c r="B48" s="119"/>
      <c r="C48" s="119"/>
      <c r="D48" s="119"/>
      <c r="E48" s="119"/>
      <c r="F48" s="119"/>
      <c r="G48" s="119"/>
      <c r="H48" s="119"/>
      <c r="I48" s="119"/>
      <c r="J48" s="119"/>
      <c r="K48" s="119"/>
      <c r="L48" s="119"/>
      <c r="M48" s="119"/>
    </row>
    <row r="49" spans="1:13" ht="15" x14ac:dyDescent="0.2">
      <c r="A49" s="119"/>
      <c r="B49" s="119"/>
      <c r="C49" s="119"/>
      <c r="D49" s="119"/>
      <c r="E49" s="119"/>
      <c r="F49" s="119"/>
      <c r="G49" s="119"/>
      <c r="H49" s="119"/>
      <c r="I49" s="119"/>
      <c r="J49" s="119"/>
      <c r="K49" s="119"/>
      <c r="L49" s="119"/>
      <c r="M49" s="119"/>
    </row>
    <row r="50" spans="1:13" ht="15" x14ac:dyDescent="0.2">
      <c r="A50" s="119"/>
      <c r="B50" s="119"/>
      <c r="C50" s="119"/>
      <c r="D50" s="119"/>
      <c r="E50" s="119"/>
      <c r="F50" s="119"/>
      <c r="G50" s="119"/>
      <c r="H50" s="119"/>
      <c r="I50" s="119"/>
      <c r="J50" s="119"/>
      <c r="K50" s="119"/>
      <c r="L50" s="119"/>
      <c r="M50" s="119"/>
    </row>
    <row r="51" spans="1:13" ht="15" x14ac:dyDescent="0.2">
      <c r="A51" s="119"/>
      <c r="B51" s="119"/>
      <c r="C51" s="119"/>
      <c r="D51" s="119"/>
      <c r="E51" s="119"/>
      <c r="F51" s="119"/>
      <c r="G51" s="119"/>
      <c r="H51" s="119"/>
      <c r="I51" s="119"/>
      <c r="J51" s="119"/>
      <c r="K51" s="119"/>
      <c r="L51" s="119"/>
      <c r="M51" s="119"/>
    </row>
    <row r="52" spans="1:13" ht="15" x14ac:dyDescent="0.2">
      <c r="A52" s="119"/>
      <c r="B52" s="119"/>
      <c r="C52" s="119"/>
      <c r="D52" s="119"/>
      <c r="E52" s="119"/>
      <c r="F52" s="119"/>
      <c r="G52" s="119"/>
      <c r="H52" s="119"/>
      <c r="I52" s="119"/>
      <c r="J52" s="119"/>
      <c r="K52" s="119"/>
      <c r="L52" s="119"/>
      <c r="M52" s="119"/>
    </row>
    <row r="53" spans="1:13" ht="15" x14ac:dyDescent="0.2">
      <c r="A53" s="119"/>
      <c r="B53" s="119"/>
      <c r="C53" s="119"/>
      <c r="D53" s="119"/>
      <c r="E53" s="119"/>
      <c r="F53" s="119"/>
      <c r="G53" s="119"/>
      <c r="H53" s="119"/>
      <c r="I53" s="119"/>
      <c r="J53" s="119"/>
      <c r="K53" s="119"/>
      <c r="L53" s="119"/>
      <c r="M53" s="119"/>
    </row>
    <row r="54" spans="1:13" ht="15" x14ac:dyDescent="0.2">
      <c r="A54" s="119"/>
      <c r="B54" s="119"/>
      <c r="C54" s="119"/>
      <c r="D54" s="119"/>
      <c r="E54" s="119"/>
      <c r="F54" s="119"/>
      <c r="G54" s="119"/>
      <c r="H54" s="119"/>
      <c r="I54" s="119"/>
      <c r="J54" s="119"/>
      <c r="K54" s="119"/>
      <c r="L54" s="119"/>
      <c r="M54" s="119"/>
    </row>
    <row r="55" spans="1:13" ht="15" x14ac:dyDescent="0.2">
      <c r="A55" s="119"/>
      <c r="B55" s="119"/>
      <c r="C55" s="119"/>
      <c r="D55" s="119"/>
      <c r="E55" s="119"/>
      <c r="F55" s="119"/>
      <c r="G55" s="119"/>
      <c r="H55" s="119"/>
      <c r="I55" s="119"/>
      <c r="J55" s="119"/>
      <c r="K55" s="119"/>
      <c r="L55" s="119"/>
      <c r="M55" s="119"/>
    </row>
    <row r="56" spans="1:13" ht="15" x14ac:dyDescent="0.2">
      <c r="A56" s="119"/>
      <c r="B56" s="119"/>
      <c r="C56" s="119"/>
      <c r="D56" s="119"/>
      <c r="E56" s="119"/>
      <c r="F56" s="119"/>
      <c r="G56" s="119"/>
      <c r="H56" s="119"/>
      <c r="I56" s="119"/>
      <c r="J56" s="119"/>
      <c r="K56" s="119"/>
      <c r="L56" s="119"/>
      <c r="M56" s="119"/>
    </row>
    <row r="57" spans="1:13" ht="15" x14ac:dyDescent="0.2">
      <c r="A57" s="119"/>
      <c r="B57" s="119"/>
      <c r="C57" s="119"/>
      <c r="D57" s="119"/>
      <c r="E57" s="119"/>
      <c r="F57" s="119"/>
      <c r="G57" s="119"/>
      <c r="H57" s="119"/>
      <c r="I57" s="119"/>
      <c r="J57" s="119"/>
      <c r="K57" s="119"/>
      <c r="L57" s="119"/>
      <c r="M57" s="119"/>
    </row>
    <row r="58" spans="1:13" ht="15" x14ac:dyDescent="0.2">
      <c r="A58" s="119"/>
      <c r="B58" s="119"/>
      <c r="C58" s="119"/>
      <c r="D58" s="119"/>
      <c r="E58" s="119"/>
      <c r="F58" s="119"/>
      <c r="G58" s="119"/>
      <c r="H58" s="119"/>
      <c r="I58" s="119"/>
      <c r="J58" s="119"/>
      <c r="K58" s="119"/>
      <c r="L58" s="119"/>
      <c r="M58" s="119"/>
    </row>
    <row r="87" spans="1:14" x14ac:dyDescent="0.15">
      <c r="C87" s="6" t="s">
        <v>54</v>
      </c>
    </row>
    <row r="88" spans="1:14" x14ac:dyDescent="0.15">
      <c r="A88" s="36"/>
      <c r="B88" s="37"/>
      <c r="C88" s="38">
        <v>0</v>
      </c>
      <c r="D88" s="38">
        <v>1</v>
      </c>
      <c r="E88" s="38">
        <v>2</v>
      </c>
      <c r="F88" s="38">
        <v>3</v>
      </c>
      <c r="G88" s="38">
        <v>4</v>
      </c>
      <c r="H88" s="38">
        <v>5</v>
      </c>
      <c r="I88" s="38">
        <v>6</v>
      </c>
      <c r="J88" s="38">
        <v>7</v>
      </c>
      <c r="K88" s="38">
        <v>8</v>
      </c>
      <c r="L88" s="38">
        <v>9</v>
      </c>
      <c r="M88" s="38">
        <v>10</v>
      </c>
    </row>
    <row r="89" spans="1:14" x14ac:dyDescent="0.15">
      <c r="A89" s="35">
        <v>0</v>
      </c>
      <c r="B89" s="39"/>
      <c r="C89" s="40"/>
      <c r="D89" s="25">
        <v>2</v>
      </c>
      <c r="E89" s="25">
        <v>1</v>
      </c>
      <c r="F89" s="25">
        <v>1</v>
      </c>
      <c r="G89" s="25">
        <v>2</v>
      </c>
      <c r="H89" s="25">
        <v>1</v>
      </c>
      <c r="I89" s="25">
        <v>2</v>
      </c>
      <c r="J89" s="25">
        <v>1</v>
      </c>
      <c r="K89" s="25">
        <v>2</v>
      </c>
      <c r="L89" s="25">
        <v>1</v>
      </c>
      <c r="M89" s="25">
        <v>1</v>
      </c>
      <c r="N89" s="41"/>
    </row>
    <row r="90" spans="1:14" x14ac:dyDescent="0.15">
      <c r="A90" s="35">
        <v>1</v>
      </c>
      <c r="B90" s="39"/>
      <c r="C90" s="28">
        <v>2</v>
      </c>
      <c r="D90" s="40"/>
      <c r="E90" s="25">
        <v>1</v>
      </c>
      <c r="F90" s="25">
        <v>3</v>
      </c>
      <c r="G90" s="25">
        <v>2</v>
      </c>
      <c r="H90" s="25">
        <v>1</v>
      </c>
      <c r="I90" s="25">
        <v>2</v>
      </c>
      <c r="J90" s="25">
        <v>3</v>
      </c>
      <c r="K90" s="25">
        <v>2</v>
      </c>
      <c r="L90" s="25">
        <v>3</v>
      </c>
      <c r="M90" s="25">
        <v>3</v>
      </c>
      <c r="N90" s="41"/>
    </row>
    <row r="91" spans="1:14" x14ac:dyDescent="0.15">
      <c r="A91" s="35">
        <v>2</v>
      </c>
      <c r="B91" s="39"/>
      <c r="C91" s="28">
        <v>1</v>
      </c>
      <c r="D91" s="28">
        <v>1</v>
      </c>
      <c r="E91" s="40"/>
      <c r="F91" s="25">
        <v>2</v>
      </c>
      <c r="G91" s="6">
        <v>1</v>
      </c>
      <c r="H91" s="25">
        <v>2</v>
      </c>
      <c r="I91" s="25">
        <v>3</v>
      </c>
      <c r="J91" s="25">
        <v>2</v>
      </c>
      <c r="K91" s="25">
        <v>3</v>
      </c>
      <c r="L91" s="25">
        <v>2</v>
      </c>
      <c r="M91" s="25">
        <v>2</v>
      </c>
      <c r="N91" s="41"/>
    </row>
    <row r="92" spans="1:14" x14ac:dyDescent="0.15">
      <c r="A92" s="35">
        <v>3</v>
      </c>
      <c r="B92" s="39"/>
      <c r="C92" s="28">
        <v>1</v>
      </c>
      <c r="D92" s="28">
        <v>3</v>
      </c>
      <c r="E92" s="28">
        <v>2</v>
      </c>
      <c r="F92" s="40"/>
      <c r="G92" s="25">
        <v>3</v>
      </c>
      <c r="H92" s="25">
        <v>2</v>
      </c>
      <c r="I92" s="25">
        <v>3</v>
      </c>
      <c r="J92" s="25">
        <v>2</v>
      </c>
      <c r="K92" s="25">
        <v>3</v>
      </c>
      <c r="L92" s="25">
        <v>2</v>
      </c>
      <c r="M92" s="25">
        <v>1</v>
      </c>
      <c r="N92" s="41"/>
    </row>
    <row r="93" spans="1:14" x14ac:dyDescent="0.15">
      <c r="A93" s="35">
        <v>4</v>
      </c>
      <c r="B93" s="39"/>
      <c r="C93" s="28">
        <v>2</v>
      </c>
      <c r="D93" s="28">
        <v>2</v>
      </c>
      <c r="E93" s="28">
        <v>1</v>
      </c>
      <c r="F93" s="28">
        <v>3</v>
      </c>
      <c r="G93" s="40"/>
      <c r="H93" s="25">
        <v>3</v>
      </c>
      <c r="I93" s="25">
        <v>4</v>
      </c>
      <c r="J93" s="25">
        <v>3</v>
      </c>
      <c r="K93" s="25">
        <v>4</v>
      </c>
      <c r="L93" s="25">
        <v>3</v>
      </c>
      <c r="M93" s="25">
        <v>3</v>
      </c>
      <c r="N93" s="41"/>
    </row>
    <row r="94" spans="1:14" x14ac:dyDescent="0.15">
      <c r="A94" s="35">
        <v>5</v>
      </c>
      <c r="B94" s="39"/>
      <c r="C94" s="28">
        <v>1</v>
      </c>
      <c r="D94" s="28">
        <v>1</v>
      </c>
      <c r="E94" s="28">
        <v>2</v>
      </c>
      <c r="F94" s="28">
        <v>2</v>
      </c>
      <c r="G94" s="28">
        <v>3</v>
      </c>
      <c r="H94" s="40"/>
      <c r="I94" s="25">
        <v>1</v>
      </c>
      <c r="J94" s="25">
        <v>2</v>
      </c>
      <c r="K94" s="25">
        <v>1</v>
      </c>
      <c r="L94" s="25">
        <v>2</v>
      </c>
      <c r="M94" s="25">
        <v>2</v>
      </c>
      <c r="N94" s="41"/>
    </row>
    <row r="95" spans="1:14" x14ac:dyDescent="0.15">
      <c r="A95" s="35">
        <v>6</v>
      </c>
      <c r="B95" s="39"/>
      <c r="C95" s="28">
        <v>2</v>
      </c>
      <c r="D95" s="28">
        <v>2</v>
      </c>
      <c r="E95" s="28">
        <v>3</v>
      </c>
      <c r="F95" s="28">
        <v>3</v>
      </c>
      <c r="G95" s="28">
        <v>4</v>
      </c>
      <c r="H95" s="28">
        <v>1</v>
      </c>
      <c r="I95" s="40"/>
      <c r="J95" s="25">
        <v>3</v>
      </c>
      <c r="K95" s="25">
        <v>2</v>
      </c>
      <c r="L95" s="25">
        <v>3</v>
      </c>
      <c r="M95" s="25">
        <v>3</v>
      </c>
      <c r="N95" s="41"/>
    </row>
    <row r="96" spans="1:14" x14ac:dyDescent="0.15">
      <c r="A96" s="35">
        <v>7</v>
      </c>
      <c r="B96" s="39"/>
      <c r="C96" s="28">
        <v>1</v>
      </c>
      <c r="D96" s="28">
        <v>3</v>
      </c>
      <c r="E96" s="28">
        <v>2</v>
      </c>
      <c r="F96" s="28">
        <v>2</v>
      </c>
      <c r="G96" s="28">
        <v>3</v>
      </c>
      <c r="H96" s="28">
        <v>2</v>
      </c>
      <c r="I96" s="28">
        <v>3</v>
      </c>
      <c r="J96" s="40"/>
      <c r="K96" s="25">
        <v>3</v>
      </c>
      <c r="L96" s="25">
        <v>2</v>
      </c>
      <c r="M96" s="25">
        <v>2</v>
      </c>
      <c r="N96" s="41"/>
    </row>
    <row r="97" spans="1:14" x14ac:dyDescent="0.15">
      <c r="A97" s="35">
        <v>8</v>
      </c>
      <c r="B97" s="39"/>
      <c r="C97" s="28">
        <v>2</v>
      </c>
      <c r="D97" s="28">
        <v>2</v>
      </c>
      <c r="E97" s="28">
        <v>3</v>
      </c>
      <c r="F97" s="28">
        <v>3</v>
      </c>
      <c r="G97" s="28">
        <v>4</v>
      </c>
      <c r="H97" s="28">
        <v>1</v>
      </c>
      <c r="I97" s="28">
        <v>2</v>
      </c>
      <c r="J97" s="28">
        <v>3</v>
      </c>
      <c r="K97" s="40"/>
      <c r="L97" s="25">
        <v>1</v>
      </c>
      <c r="M97" s="25">
        <v>3</v>
      </c>
      <c r="N97" s="41"/>
    </row>
    <row r="98" spans="1:14" x14ac:dyDescent="0.15">
      <c r="A98" s="35">
        <v>9</v>
      </c>
      <c r="B98" s="39"/>
      <c r="C98" s="28">
        <v>1</v>
      </c>
      <c r="D98" s="28">
        <v>3</v>
      </c>
      <c r="E98" s="28">
        <v>2</v>
      </c>
      <c r="F98" s="28">
        <v>2</v>
      </c>
      <c r="G98" s="28">
        <v>3</v>
      </c>
      <c r="H98" s="28">
        <v>2</v>
      </c>
      <c r="I98" s="28">
        <v>3</v>
      </c>
      <c r="J98" s="28">
        <v>2</v>
      </c>
      <c r="K98" s="28">
        <v>1</v>
      </c>
      <c r="L98" s="40"/>
      <c r="M98" s="25">
        <v>2</v>
      </c>
      <c r="N98" s="41"/>
    </row>
    <row r="99" spans="1:14" x14ac:dyDescent="0.15">
      <c r="A99" s="35">
        <v>10</v>
      </c>
      <c r="B99" s="39"/>
      <c r="C99" s="28">
        <v>1</v>
      </c>
      <c r="D99" s="28">
        <v>3</v>
      </c>
      <c r="E99" s="28">
        <v>2</v>
      </c>
      <c r="F99" s="28">
        <v>1</v>
      </c>
      <c r="G99" s="28">
        <v>3</v>
      </c>
      <c r="H99" s="28">
        <v>2</v>
      </c>
      <c r="I99" s="28">
        <v>3</v>
      </c>
      <c r="J99" s="28">
        <v>2</v>
      </c>
      <c r="K99" s="28">
        <v>3</v>
      </c>
      <c r="L99" s="28">
        <v>2</v>
      </c>
      <c r="M99" s="40"/>
      <c r="N99" s="41"/>
    </row>
    <row r="100" spans="1:14" x14ac:dyDescent="0.15">
      <c r="C100" s="33">
        <f t="shared" ref="C100:L100" si="0">SUM(C89:C99)</f>
        <v>14</v>
      </c>
      <c r="D100" s="33">
        <f t="shared" si="0"/>
        <v>22</v>
      </c>
      <c r="E100" s="33">
        <f t="shared" si="0"/>
        <v>19</v>
      </c>
      <c r="F100" s="33">
        <f t="shared" si="0"/>
        <v>22</v>
      </c>
      <c r="G100" s="33">
        <f t="shared" si="0"/>
        <v>28</v>
      </c>
      <c r="H100" s="33">
        <f t="shared" si="0"/>
        <v>17</v>
      </c>
      <c r="I100" s="33">
        <f t="shared" si="0"/>
        <v>26</v>
      </c>
      <c r="J100" s="33">
        <f t="shared" si="0"/>
        <v>23</v>
      </c>
      <c r="K100" s="33">
        <f t="shared" si="0"/>
        <v>24</v>
      </c>
      <c r="L100" s="33">
        <f t="shared" si="0"/>
        <v>21</v>
      </c>
      <c r="M100" s="33">
        <f>SUM(M89:M99)</f>
        <v>22</v>
      </c>
    </row>
    <row r="101" spans="1:14" x14ac:dyDescent="0.15">
      <c r="B101" s="33"/>
      <c r="C101" s="33"/>
    </row>
    <row r="107" spans="1:14" x14ac:dyDescent="0.15">
      <c r="C107" s="6" t="s">
        <v>55</v>
      </c>
    </row>
    <row r="108" spans="1:14" x14ac:dyDescent="0.15">
      <c r="A108" s="36"/>
      <c r="B108" s="37"/>
      <c r="C108" s="38">
        <v>0</v>
      </c>
      <c r="D108" s="38">
        <v>1</v>
      </c>
      <c r="E108" s="38">
        <v>2</v>
      </c>
      <c r="F108" s="38">
        <v>3</v>
      </c>
      <c r="G108" s="38">
        <v>4</v>
      </c>
      <c r="H108" s="38">
        <v>5</v>
      </c>
      <c r="I108" s="38">
        <v>6</v>
      </c>
      <c r="J108" s="38">
        <v>7</v>
      </c>
      <c r="K108" s="38">
        <v>8</v>
      </c>
      <c r="L108" s="38">
        <v>9</v>
      </c>
      <c r="M108" s="38">
        <v>10</v>
      </c>
    </row>
    <row r="109" spans="1:14" x14ac:dyDescent="0.15">
      <c r="A109" s="35">
        <v>0</v>
      </c>
      <c r="B109" s="39"/>
      <c r="C109" s="42"/>
      <c r="D109" s="43"/>
      <c r="E109" s="43">
        <v>1</v>
      </c>
      <c r="F109" s="43">
        <v>1</v>
      </c>
      <c r="G109" s="43"/>
      <c r="H109" s="43">
        <v>1</v>
      </c>
      <c r="I109" s="43"/>
      <c r="J109" s="43">
        <v>1</v>
      </c>
      <c r="K109" s="43"/>
      <c r="L109" s="43">
        <v>1</v>
      </c>
      <c r="M109" s="43">
        <v>1</v>
      </c>
    </row>
    <row r="110" spans="1:14" x14ac:dyDescent="0.15">
      <c r="A110" s="35">
        <v>1</v>
      </c>
      <c r="B110" s="39"/>
      <c r="C110" s="44"/>
      <c r="D110" s="42"/>
      <c r="E110" s="43">
        <v>1</v>
      </c>
      <c r="F110" s="43"/>
      <c r="G110" s="43"/>
      <c r="H110" s="43">
        <v>1</v>
      </c>
      <c r="I110" s="43"/>
      <c r="J110" s="43"/>
      <c r="K110" s="43"/>
      <c r="L110" s="43"/>
      <c r="M110" s="43"/>
    </row>
    <row r="111" spans="1:14" x14ac:dyDescent="0.15">
      <c r="A111" s="35">
        <v>2</v>
      </c>
      <c r="B111" s="39"/>
      <c r="C111" s="44">
        <v>1</v>
      </c>
      <c r="D111" s="45">
        <v>1</v>
      </c>
      <c r="E111" s="42"/>
      <c r="F111" s="43"/>
      <c r="G111" s="43">
        <v>1</v>
      </c>
      <c r="H111" s="43"/>
      <c r="I111" s="43"/>
      <c r="J111" s="43"/>
      <c r="K111" s="43"/>
      <c r="L111" s="43"/>
      <c r="M111" s="43"/>
    </row>
    <row r="112" spans="1:14" x14ac:dyDescent="0.15">
      <c r="A112" s="35">
        <v>3</v>
      </c>
      <c r="B112" s="39"/>
      <c r="C112" s="44">
        <v>1</v>
      </c>
      <c r="D112" s="44"/>
      <c r="E112" s="44"/>
      <c r="F112" s="42"/>
      <c r="G112" s="43"/>
      <c r="H112" s="43"/>
      <c r="I112" s="43"/>
      <c r="J112" s="43"/>
      <c r="K112" s="43"/>
      <c r="L112" s="43"/>
      <c r="M112" s="43">
        <v>1</v>
      </c>
    </row>
    <row r="113" spans="1:13" x14ac:dyDescent="0.15">
      <c r="A113" s="35">
        <v>4</v>
      </c>
      <c r="B113" s="39"/>
      <c r="C113" s="44"/>
      <c r="D113" s="44"/>
      <c r="E113" s="44">
        <v>1</v>
      </c>
      <c r="F113" s="44"/>
      <c r="G113" s="42"/>
      <c r="H113" s="43"/>
      <c r="I113" s="43"/>
      <c r="J113" s="43"/>
      <c r="K113" s="43"/>
      <c r="L113" s="43"/>
      <c r="M113" s="43"/>
    </row>
    <row r="114" spans="1:13" x14ac:dyDescent="0.15">
      <c r="A114" s="35">
        <v>5</v>
      </c>
      <c r="B114" s="39"/>
      <c r="C114" s="44">
        <v>1</v>
      </c>
      <c r="D114" s="44">
        <v>1</v>
      </c>
      <c r="E114" s="44"/>
      <c r="F114" s="44"/>
      <c r="G114" s="44"/>
      <c r="H114" s="42"/>
      <c r="I114" s="43">
        <v>1</v>
      </c>
      <c r="J114" s="43"/>
      <c r="K114" s="43"/>
      <c r="L114" s="43"/>
      <c r="M114" s="43"/>
    </row>
    <row r="115" spans="1:13" x14ac:dyDescent="0.15">
      <c r="A115" s="35">
        <v>6</v>
      </c>
      <c r="B115" s="39"/>
      <c r="C115" s="44"/>
      <c r="D115" s="44"/>
      <c r="E115" s="44"/>
      <c r="F115" s="44"/>
      <c r="G115" s="44"/>
      <c r="H115" s="44">
        <v>1</v>
      </c>
      <c r="I115" s="42"/>
      <c r="J115" s="43"/>
      <c r="K115" s="43">
        <v>1</v>
      </c>
      <c r="L115" s="43"/>
      <c r="M115" s="43"/>
    </row>
    <row r="116" spans="1:13" x14ac:dyDescent="0.15">
      <c r="A116" s="35">
        <v>7</v>
      </c>
      <c r="B116" s="39"/>
      <c r="C116" s="44">
        <v>1</v>
      </c>
      <c r="D116" s="44"/>
      <c r="E116" s="44"/>
      <c r="F116" s="44"/>
      <c r="G116" s="44"/>
      <c r="H116" s="44"/>
      <c r="I116" s="44"/>
      <c r="J116" s="42"/>
      <c r="K116" s="43"/>
      <c r="L116" s="43"/>
      <c r="M116" s="43"/>
    </row>
    <row r="117" spans="1:13" x14ac:dyDescent="0.15">
      <c r="A117" s="35">
        <v>8</v>
      </c>
      <c r="B117" s="39"/>
      <c r="C117" s="44"/>
      <c r="D117" s="44"/>
      <c r="E117" s="44"/>
      <c r="F117" s="44"/>
      <c r="G117" s="44"/>
      <c r="H117" s="44">
        <v>1</v>
      </c>
      <c r="I117" s="44"/>
      <c r="J117" s="44"/>
      <c r="K117" s="42"/>
      <c r="L117" s="43">
        <v>1</v>
      </c>
      <c r="M117" s="43"/>
    </row>
    <row r="118" spans="1:13" x14ac:dyDescent="0.15">
      <c r="A118" s="35">
        <v>9</v>
      </c>
      <c r="B118" s="39"/>
      <c r="C118" s="44">
        <v>1</v>
      </c>
      <c r="D118" s="44"/>
      <c r="E118" s="44"/>
      <c r="F118" s="44"/>
      <c r="G118" s="44"/>
      <c r="H118" s="44"/>
      <c r="I118" s="44"/>
      <c r="J118" s="44"/>
      <c r="K118" s="44">
        <v>1</v>
      </c>
      <c r="L118" s="42"/>
      <c r="M118" s="43"/>
    </row>
    <row r="119" spans="1:13" x14ac:dyDescent="0.15">
      <c r="A119" s="35">
        <v>10</v>
      </c>
      <c r="B119" s="39"/>
      <c r="C119" s="44">
        <v>1</v>
      </c>
      <c r="D119" s="44"/>
      <c r="E119" s="44"/>
      <c r="F119" s="44">
        <v>1</v>
      </c>
      <c r="G119" s="44"/>
      <c r="H119" s="44"/>
      <c r="I119" s="44"/>
      <c r="J119" s="44"/>
      <c r="K119" s="44"/>
      <c r="L119" s="44"/>
      <c r="M119" s="42"/>
    </row>
    <row r="120" spans="1:13" x14ac:dyDescent="0.15">
      <c r="C120" s="33">
        <f>SUM(C109:C119)</f>
        <v>6</v>
      </c>
      <c r="D120" s="33">
        <f t="shared" ref="D120:M120" si="1">SUM(D109:D119)</f>
        <v>2</v>
      </c>
      <c r="E120" s="33">
        <f t="shared" si="1"/>
        <v>3</v>
      </c>
      <c r="F120" s="33">
        <f t="shared" si="1"/>
        <v>2</v>
      </c>
      <c r="G120" s="33">
        <f t="shared" si="1"/>
        <v>1</v>
      </c>
      <c r="H120" s="33">
        <f t="shared" si="1"/>
        <v>4</v>
      </c>
      <c r="I120" s="33">
        <f t="shared" si="1"/>
        <v>1</v>
      </c>
      <c r="J120" s="33">
        <f t="shared" si="1"/>
        <v>1</v>
      </c>
      <c r="K120" s="33">
        <f t="shared" si="1"/>
        <v>2</v>
      </c>
      <c r="L120" s="33">
        <f t="shared" si="1"/>
        <v>2</v>
      </c>
      <c r="M120" s="33">
        <f t="shared" si="1"/>
        <v>2</v>
      </c>
    </row>
  </sheetData>
  <mergeCells count="5">
    <mergeCell ref="A1:R1"/>
    <mergeCell ref="A2:D2"/>
    <mergeCell ref="E2:F2"/>
    <mergeCell ref="G2:L2"/>
    <mergeCell ref="M2:P2"/>
  </mergeCells>
  <phoneticPr fontId="1" type="noConversion"/>
  <dataValidations count="2">
    <dataValidation type="list" allowBlank="1" showInputMessage="1" showErrorMessage="1" sqref="F4:F14" xr:uid="{F2A3F8A7-0E6A-FB42-979B-16B4A382F43B}">
      <formula1>"Yes, No"</formula1>
    </dataValidation>
    <dataValidation type="list" allowBlank="1" showInputMessage="1" showErrorMessage="1" sqref="E4:E14" xr:uid="{651CEA5D-7FD0-E847-84EA-91BA2CCAB299}">
      <formula1>"Low, Medium, High"</formula1>
    </dataValidation>
  </dataValidations>
  <pageMargins left="0.7" right="0.7" top="0.75" bottom="0.75" header="0.3" footer="0.3"/>
  <pageSetup orientation="portrait" horizontalDpi="0" verticalDpi="0"/>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1A8BA0CF-463E-364C-BA4B-52A7D65DB269}">
          <x14:formula1>
            <xm:f>Lists!$BI$3:$BI$6</xm:f>
          </x14:formula1>
          <xm:sqref>D4:D14</xm:sqref>
        </x14:dataValidation>
        <x14:dataValidation type="list" allowBlank="1" showInputMessage="1" showErrorMessage="1" xr:uid="{F67E9ECD-1456-B241-A1C8-DB51B101F322}">
          <x14:formula1>
            <xm:f>Lists!$BF$3:$BF$5</xm:f>
          </x14:formula1>
          <xm:sqref>C4:C14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DE0AA-773F-F849-8626-8C8E2F1D3011}">
  <sheetPr>
    <tabColor theme="9" tint="-0.499984740745262"/>
  </sheetPr>
  <dimension ref="A1:AA104"/>
  <sheetViews>
    <sheetView workbookViewId="0">
      <pane xSplit="1" ySplit="3" topLeftCell="I8" activePane="bottomRight" state="frozen"/>
      <selection pane="topRight" activeCell="B1" sqref="B1"/>
      <selection pane="bottomLeft" activeCell="A4" sqref="A4"/>
      <selection pane="bottomRight" activeCell="T19" sqref="T19"/>
    </sheetView>
  </sheetViews>
  <sheetFormatPr baseColWidth="10" defaultColWidth="39.33203125" defaultRowHeight="16" x14ac:dyDescent="0.2"/>
  <cols>
    <col min="1" max="1" width="39.33203125" style="20"/>
    <col min="2" max="2" width="109.6640625" style="20" customWidth="1"/>
    <col min="3" max="3" width="18.33203125" style="20" bestFit="1" customWidth="1"/>
    <col min="4" max="4" width="23.6640625" style="20" bestFit="1" customWidth="1"/>
    <col min="5" max="5" width="20.1640625" style="20" bestFit="1" customWidth="1"/>
    <col min="6" max="6" width="22" style="13" bestFit="1" customWidth="1"/>
    <col min="7" max="7" width="22.5" style="20" bestFit="1" customWidth="1"/>
    <col min="8" max="9" width="43.6640625" style="20" customWidth="1"/>
    <col min="11" max="11" width="21.6640625" style="20" customWidth="1"/>
    <col min="13" max="13" width="13.1640625" customWidth="1"/>
    <col min="14" max="14" width="13.1640625" style="13" customWidth="1"/>
    <col min="15" max="15" width="24.33203125" style="20" customWidth="1"/>
    <col min="16" max="16" width="21.83203125" style="20" customWidth="1"/>
    <col min="17" max="17" width="50.83203125" style="20" customWidth="1"/>
    <col min="18" max="18" width="15.6640625" style="20" bestFit="1" customWidth="1"/>
    <col min="19" max="19" width="22" style="20" bestFit="1" customWidth="1"/>
    <col min="20" max="20" width="56.5" style="20" customWidth="1"/>
    <col min="21" max="21" width="134.83203125" style="143" customWidth="1"/>
    <col min="22" max="22" width="15.1640625" style="13" bestFit="1" customWidth="1"/>
    <col min="23" max="23" width="18.6640625" style="20" bestFit="1" customWidth="1"/>
    <col min="24" max="27" width="39.33203125" style="20"/>
    <col min="28" max="16384" width="39.33203125" style="6"/>
  </cols>
  <sheetData>
    <row r="1" spans="1:27" ht="16" customHeight="1" x14ac:dyDescent="0.15">
      <c r="A1" s="460" t="s">
        <v>2257</v>
      </c>
      <c r="B1" s="460"/>
      <c r="C1" s="460"/>
      <c r="D1" s="460"/>
      <c r="E1" s="460"/>
      <c r="F1" s="460"/>
      <c r="G1" s="460"/>
      <c r="H1" s="460"/>
      <c r="I1" s="460"/>
      <c r="J1" s="460"/>
      <c r="K1" s="460"/>
      <c r="L1" s="460"/>
      <c r="M1" s="460"/>
      <c r="N1" s="460"/>
      <c r="O1" s="460"/>
      <c r="P1" s="460"/>
      <c r="Q1" s="460"/>
      <c r="R1" s="460"/>
      <c r="S1" s="460"/>
      <c r="T1" s="460"/>
      <c r="U1" s="460"/>
      <c r="V1" s="20"/>
      <c r="Y1" s="6"/>
      <c r="Z1" s="6"/>
      <c r="AA1" s="6"/>
    </row>
    <row r="2" spans="1:27" ht="15" customHeight="1" x14ac:dyDescent="0.2">
      <c r="A2" s="529" t="s">
        <v>2260</v>
      </c>
      <c r="B2" s="529"/>
      <c r="C2" s="529"/>
      <c r="D2" s="529"/>
      <c r="E2" s="529"/>
      <c r="F2" s="529"/>
      <c r="G2" s="529"/>
      <c r="H2" s="529"/>
      <c r="I2" s="530"/>
      <c r="J2" s="235">
        <v>5.2</v>
      </c>
      <c r="K2" s="531" t="s">
        <v>303</v>
      </c>
      <c r="L2" s="529"/>
      <c r="M2" s="529"/>
      <c r="N2" s="529"/>
      <c r="O2" s="530"/>
      <c r="P2" s="527" t="s">
        <v>317</v>
      </c>
      <c r="Q2" s="527"/>
      <c r="R2" s="527" t="s">
        <v>270</v>
      </c>
      <c r="S2" s="527"/>
      <c r="T2" s="528"/>
      <c r="U2" s="199"/>
      <c r="V2" s="6"/>
      <c r="W2" s="6"/>
      <c r="X2" s="6"/>
      <c r="Y2" s="6"/>
      <c r="Z2" s="6"/>
      <c r="AA2" s="6"/>
    </row>
    <row r="3" spans="1:27" s="46" customFormat="1" ht="32" x14ac:dyDescent="0.2">
      <c r="A3" s="203" t="s">
        <v>61</v>
      </c>
      <c r="B3" s="208" t="s">
        <v>275</v>
      </c>
      <c r="C3" s="234" t="s">
        <v>173</v>
      </c>
      <c r="D3" s="208" t="s">
        <v>280</v>
      </c>
      <c r="E3" s="208" t="s">
        <v>282</v>
      </c>
      <c r="F3" s="208" t="s">
        <v>281</v>
      </c>
      <c r="G3" s="208" t="s">
        <v>283</v>
      </c>
      <c r="H3" s="208" t="s">
        <v>287</v>
      </c>
      <c r="I3" s="208" t="s">
        <v>286</v>
      </c>
      <c r="J3" s="208" t="s">
        <v>1564</v>
      </c>
      <c r="K3" s="208" t="s">
        <v>292</v>
      </c>
      <c r="L3" s="208" t="s">
        <v>302</v>
      </c>
      <c r="M3" s="208" t="s">
        <v>322</v>
      </c>
      <c r="N3" s="208" t="s">
        <v>115</v>
      </c>
      <c r="O3" s="274" t="s">
        <v>271</v>
      </c>
      <c r="P3" s="208" t="s">
        <v>316</v>
      </c>
      <c r="Q3" s="208" t="s">
        <v>319</v>
      </c>
      <c r="R3" s="208" t="s">
        <v>318</v>
      </c>
      <c r="S3" s="208" t="s">
        <v>320</v>
      </c>
      <c r="T3" s="208" t="s">
        <v>321</v>
      </c>
      <c r="U3" s="206" t="s">
        <v>174</v>
      </c>
    </row>
    <row r="4" spans="1:27" ht="48" x14ac:dyDescent="0.15">
      <c r="A4" s="110" t="s">
        <v>1289</v>
      </c>
      <c r="B4" s="110" t="s">
        <v>1314</v>
      </c>
      <c r="C4" s="110" t="s">
        <v>1305</v>
      </c>
      <c r="D4" s="110" t="s">
        <v>279</v>
      </c>
      <c r="E4" s="396">
        <v>43115</v>
      </c>
      <c r="F4" s="396">
        <v>44012</v>
      </c>
      <c r="G4" s="397" t="s">
        <v>285</v>
      </c>
      <c r="H4" s="398" t="s">
        <v>1579</v>
      </c>
      <c r="I4" s="397" t="s">
        <v>1580</v>
      </c>
      <c r="J4" s="110" t="s">
        <v>1605</v>
      </c>
      <c r="K4" s="123" t="s">
        <v>594</v>
      </c>
      <c r="L4" s="123" t="s">
        <v>594</v>
      </c>
      <c r="M4" s="123" t="s">
        <v>308</v>
      </c>
      <c r="N4" s="123" t="s">
        <v>213</v>
      </c>
      <c r="O4" s="398" t="s">
        <v>273</v>
      </c>
      <c r="P4" s="123" t="s">
        <v>594</v>
      </c>
      <c r="Q4" s="123"/>
      <c r="R4" s="595">
        <v>0</v>
      </c>
      <c r="S4" s="123"/>
      <c r="T4" s="123"/>
      <c r="U4"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"&amp;M4&amp;")"&amp;" (Capability Solution: "&amp;CBA[[#This Row],[Capability Solution]]&amp;" - $"&amp;CBA[[#This Row],[Estimated Cost]]&amp;")"</f>
        <v>U.S. DoD Contract Management: The contracts team manages procurement processes, delivery schedules, compliance reporting, and contractual obligations for U.S. Department of Defense prime contracts to achieve reliable fulfillment of domestic military vehicle orders and maintain trusted supplier status. (Production Stage: FOC -  IOC: 15-Jan-2018; FOC: 30-Jun-2020) (Objectives Supported: Deploy Next-Generation Vehicle, Maintain Made-in America Brand; Capability Analysis: NA; NA; CRA-1) (Capability Solution: NA - $0)</v>
      </c>
      <c r="V4" s="6"/>
    </row>
    <row r="5" spans="1:27" ht="48" x14ac:dyDescent="0.15">
      <c r="A5" s="110" t="s">
        <v>1290</v>
      </c>
      <c r="B5" s="110" t="s">
        <v>1552</v>
      </c>
      <c r="C5" s="110" t="s">
        <v>1305</v>
      </c>
      <c r="D5" s="110" t="s">
        <v>276</v>
      </c>
      <c r="E5" s="396">
        <v>47848</v>
      </c>
      <c r="F5" s="396">
        <v>48579</v>
      </c>
      <c r="G5" s="397" t="s">
        <v>284</v>
      </c>
      <c r="H5" s="398" t="s">
        <v>1581</v>
      </c>
      <c r="I5" s="397" t="s">
        <v>1582</v>
      </c>
      <c r="J5" s="110" t="s">
        <v>1605</v>
      </c>
      <c r="K5" s="123" t="s">
        <v>594</v>
      </c>
      <c r="L5" s="123" t="s">
        <v>594</v>
      </c>
      <c r="M5" s="123" t="s">
        <v>308</v>
      </c>
      <c r="N5" s="123" t="s">
        <v>213</v>
      </c>
      <c r="O5" s="398" t="s">
        <v>273</v>
      </c>
      <c r="P5" s="123" t="s">
        <v>594</v>
      </c>
      <c r="Q5" s="123"/>
      <c r="R5" s="595">
        <v>100000000</v>
      </c>
      <c r="S5" s="123"/>
      <c r="T5" s="123"/>
      <c r="U5"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"&amp;M5&amp;")"&amp;" (Capability Solution: "&amp;CBA[[#This Row],[Capability Solution]]&amp;" - $"&amp;CBA[[#This Row],[Estimated Cost]]&amp;")"</f>
        <v>Temperate Climate Vehicle Engineering: The engineering team designs, develops, and tests armored vehicles optimized for North American and European operational environments to achieve superior lethality and survivability in temperate climates where U.S. forces and NATO allies primarily operate. (Production Stage: Research -  IOC: 31-Dec-2030; FOC: 31-Dec-2032) (Objectives Supported: Deploy Next-Generation Vehicle, Maintain Made-in America Brand; Capability Analysis: NA; NA; CRA-1) (Capability Solution: NA - $100000000)</v>
      </c>
      <c r="V5" s="6"/>
    </row>
    <row r="6" spans="1:27" ht="64" x14ac:dyDescent="0.15">
      <c r="A6" s="594" t="s">
        <v>1292</v>
      </c>
      <c r="B6" s="110" t="s">
        <v>1306</v>
      </c>
      <c r="C6" s="110" t="s">
        <v>1305</v>
      </c>
      <c r="D6" s="110" t="s">
        <v>279</v>
      </c>
      <c r="E6" s="396">
        <v>42104</v>
      </c>
      <c r="F6" s="396">
        <v>43454</v>
      </c>
      <c r="G6" s="397" t="s">
        <v>284</v>
      </c>
      <c r="H6" s="398" t="s">
        <v>1583</v>
      </c>
      <c r="I6" s="397" t="s">
        <v>1584</v>
      </c>
      <c r="J6" s="110" t="s">
        <v>1412</v>
      </c>
      <c r="K6" s="123" t="s">
        <v>289</v>
      </c>
      <c r="L6" s="123" t="s">
        <v>298</v>
      </c>
      <c r="M6" s="123" t="s">
        <v>310</v>
      </c>
      <c r="N6" s="123" t="s">
        <v>192</v>
      </c>
      <c r="O6" s="398" t="s">
        <v>272</v>
      </c>
      <c r="P6" s="123" t="s">
        <v>312</v>
      </c>
      <c r="Q6" s="176" t="s">
        <v>1609</v>
      </c>
      <c r="R6" s="595">
        <v>0</v>
      </c>
      <c r="S6" s="123" t="s">
        <v>213</v>
      </c>
      <c r="T6" s="176">
        <v>5</v>
      </c>
      <c r="U6"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"&amp;M6&amp;")"&amp;" (Capability Solution: "&amp;CBA[[#This Row],[Capability Solution]]&amp;" - $"&amp;CBA[[#This Row],[Estimated Cost]]&amp;")"</f>
        <v>Domestic Manufacturing Operations: The production operations team manufactures military vehicles using American skilled labor, domestic supply chains, and proven assembly processes to achieve consistent quality and on-time delivery for U.S. military contracts from the Detroit facility. (Production Stage: FOC -  IOC: 10-Apr-2015; FOC: 20-Dec-2018) (Objectives Supported: Automate Production Systems; Capability Analysis: Redundant; Lack of Sufficiency; CRA-3) (Capability Solution: Non-Material - $0)</v>
      </c>
      <c r="V6" s="6"/>
    </row>
    <row r="7" spans="1:27" ht="48" x14ac:dyDescent="0.15">
      <c r="A7" s="594" t="s">
        <v>1294</v>
      </c>
      <c r="B7" s="110" t="s">
        <v>1307</v>
      </c>
      <c r="C7" s="110" t="s">
        <v>1305</v>
      </c>
      <c r="D7" s="110" t="s">
        <v>279</v>
      </c>
      <c r="E7" s="396">
        <v>42510</v>
      </c>
      <c r="F7" s="396">
        <v>44058</v>
      </c>
      <c r="G7" s="397" t="s">
        <v>285</v>
      </c>
      <c r="H7" s="398" t="s">
        <v>1585</v>
      </c>
      <c r="I7" s="397" t="s">
        <v>1586</v>
      </c>
      <c r="J7" s="110" t="s">
        <v>1605</v>
      </c>
      <c r="K7" s="123" t="s">
        <v>594</v>
      </c>
      <c r="L7" s="123" t="s">
        <v>594</v>
      </c>
      <c r="M7" s="123" t="s">
        <v>308</v>
      </c>
      <c r="N7" s="123" t="s">
        <v>213</v>
      </c>
      <c r="O7" s="398" t="s">
        <v>273</v>
      </c>
      <c r="P7" s="123" t="s">
        <v>594</v>
      </c>
      <c r="Q7" s="123"/>
      <c r="R7" s="595">
        <v>0</v>
      </c>
      <c r="S7" s="123"/>
      <c r="T7" s="123"/>
      <c r="U7"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"&amp;M7&amp;")"&amp;" (Capability Solution: "&amp;CBA[[#This Row],[Capability Solution]]&amp;" - $"&amp;CBA[[#This Row],[Estimated Cost]]&amp;")"</f>
        <v>U.S. Military Customer Relationships: The business development team maintains long-term relationships with U.S. Army program offices, defense procurement officials, and military end-users to achieve preferential consideration for vehicle modernization programs and sustainment contracts. (Production Stage: FOC -  IOC: 20-May-2016; FOC: 15-Aug-2020) (Objectives Supported: Deploy Next-Generation Vehicle, Maintain Made-in America Brand; Capability Analysis: NA; NA; CRA-1) (Capability Solution: NA - $0)</v>
      </c>
      <c r="V7" s="6"/>
    </row>
    <row r="8" spans="1:27" ht="64" x14ac:dyDescent="0.15">
      <c r="A8" s="594" t="s">
        <v>1295</v>
      </c>
      <c r="B8" s="110" t="s">
        <v>1313</v>
      </c>
      <c r="C8" s="110" t="s">
        <v>1305</v>
      </c>
      <c r="D8" s="110" t="s">
        <v>279</v>
      </c>
      <c r="E8" s="396">
        <v>42917</v>
      </c>
      <c r="F8" s="396">
        <v>43100</v>
      </c>
      <c r="G8" s="397" t="s">
        <v>284</v>
      </c>
      <c r="H8" s="398" t="s">
        <v>1587</v>
      </c>
      <c r="I8" s="397" t="s">
        <v>1588</v>
      </c>
      <c r="J8" s="110" t="s">
        <v>1606</v>
      </c>
      <c r="K8" s="123" t="s">
        <v>594</v>
      </c>
      <c r="L8" s="123" t="s">
        <v>594</v>
      </c>
      <c r="M8" s="123" t="s">
        <v>308</v>
      </c>
      <c r="N8" s="123" t="s">
        <v>213</v>
      </c>
      <c r="O8" s="398" t="s">
        <v>273</v>
      </c>
      <c r="P8" s="123" t="s">
        <v>594</v>
      </c>
      <c r="Q8" s="123"/>
      <c r="R8" s="595">
        <v>0</v>
      </c>
      <c r="S8" s="123"/>
      <c r="T8" s="123"/>
      <c r="U8"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"&amp;M8&amp;")"&amp;" (Capability Solution: "&amp;CBA[[#This Row],[Capability Solution]]&amp;" - $"&amp;CBA[[#This Row],[Estimated Cost]]&amp;")"</f>
        <v>Advanced Armor Technology Development: The research and development team innovates armor compositions, blast-deflection geometries, and survivability systems to achieve technological leadership that provides U.S. service members with superior protection against evolving battlefield threats. (Production Stage: FOC -  IOC: 01-Jul-2017; FOC: 31-Dec-2017) (Objectives Supported: Deploy Next-Generation Vehicle, Maintain Made-in America Brand, Build Partnership Network, Deploy Climate-Adapted Vehicle; Capability Analysis: NA; NA; CRA-1) (Capability Solution: NA - $0)</v>
      </c>
      <c r="V8" s="6"/>
    </row>
    <row r="9" spans="1:27" ht="48" x14ac:dyDescent="0.15">
      <c r="A9" s="594" t="s">
        <v>1296</v>
      </c>
      <c r="B9" s="110" t="s">
        <v>1308</v>
      </c>
      <c r="C9" s="110" t="s">
        <v>1305</v>
      </c>
      <c r="D9" s="110" t="s">
        <v>279</v>
      </c>
      <c r="E9" s="396">
        <v>43252</v>
      </c>
      <c r="F9" s="396">
        <v>44286</v>
      </c>
      <c r="G9" s="397" t="s">
        <v>285</v>
      </c>
      <c r="H9" s="398" t="s">
        <v>1589</v>
      </c>
      <c r="I9" s="397" t="s">
        <v>1590</v>
      </c>
      <c r="J9" s="110" t="s">
        <v>1607</v>
      </c>
      <c r="K9" s="123" t="s">
        <v>594</v>
      </c>
      <c r="L9" s="123" t="s">
        <v>594</v>
      </c>
      <c r="M9" s="123" t="s">
        <v>309</v>
      </c>
      <c r="N9" s="123" t="s">
        <v>213</v>
      </c>
      <c r="O9" s="398" t="s">
        <v>273</v>
      </c>
      <c r="P9" s="123" t="s">
        <v>594</v>
      </c>
      <c r="Q9" s="123"/>
      <c r="R9" s="595">
        <v>0</v>
      </c>
      <c r="S9" s="123"/>
      <c r="T9" s="123"/>
      <c r="U9"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"&amp;M9&amp;")"&amp;" (Capability Solution: "&amp;CBA[[#This Row],[Capability Solution]]&amp;" - $"&amp;CBA[[#This Row],[Estimated Cost]]&amp;")"</f>
        <v>Domestic Aftermarket Support: The customer support operations team provides spare parts, maintenance training, field service representatives, and technical assistance to U.S. military units to achieve sustained vehicle readiness and long-term customer satisfaction throughout the platform lifecycle. (Production Stage: FOC -  IOC: 01-Jun-2018; FOC: 31-Mar-2021) (Objectives Supported: Automate Production Systems, Maintain Made-in America Brand; Capability Analysis: NA; NA; CRA-2) (Capability Solution: NA - $0)</v>
      </c>
      <c r="V9" s="6"/>
    </row>
    <row r="10" spans="1:27" ht="48" x14ac:dyDescent="0.15">
      <c r="A10" s="110" t="s">
        <v>1297</v>
      </c>
      <c r="B10" s="110" t="s">
        <v>1311</v>
      </c>
      <c r="C10" s="110" t="s">
        <v>1305</v>
      </c>
      <c r="D10" s="110" t="s">
        <v>279</v>
      </c>
      <c r="E10" s="396">
        <v>44044</v>
      </c>
      <c r="F10" s="396">
        <v>44377</v>
      </c>
      <c r="G10" s="397" t="s">
        <v>284</v>
      </c>
      <c r="H10" s="398" t="s">
        <v>1591</v>
      </c>
      <c r="I10" s="397" t="s">
        <v>1592</v>
      </c>
      <c r="J10" s="110" t="s">
        <v>1605</v>
      </c>
      <c r="K10" s="123" t="s">
        <v>594</v>
      </c>
      <c r="L10" s="123" t="s">
        <v>594</v>
      </c>
      <c r="M10" s="123" t="s">
        <v>309</v>
      </c>
      <c r="N10" s="123" t="s">
        <v>213</v>
      </c>
      <c r="O10" s="398" t="s">
        <v>273</v>
      </c>
      <c r="P10" s="123" t="s">
        <v>594</v>
      </c>
      <c r="Q10" s="123"/>
      <c r="R10" s="595">
        <v>0</v>
      </c>
      <c r="S10" s="123"/>
      <c r="T10" s="123"/>
      <c r="U10"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"&amp;M10&amp;")"&amp;" (Capability Solution: "&amp;CBA[[#This Row],[Capability Solution]]&amp;" - $"&amp;CBA[[#This Row],[Estimated Cost]]&amp;")"</f>
        <v>Integrated Lethality Systems Development: The weapons integration team designs and integrates firearm mounts, fire control systems, ammunition storage, and targeting capabilities to achieve superior offensive capability that enables U.S. forces to engage and defeat enemy threats effectively from armored platforms. (Production Stage: FOC -  IOC: 01-Aug-2020; FOC: 30-Jun-2021) (Objectives Supported: Deploy Next-Generation Vehicle, Maintain Made-in America Brand; Capability Analysis: NA; NA; CRA-2) (Capability Solution: NA - $0)</v>
      </c>
      <c r="V10" s="6"/>
    </row>
    <row r="11" spans="1:27" ht="48" x14ac:dyDescent="0.15">
      <c r="A11" s="594" t="s">
        <v>1298</v>
      </c>
      <c r="B11" s="110" t="s">
        <v>1310</v>
      </c>
      <c r="C11" s="110" t="s">
        <v>1305</v>
      </c>
      <c r="D11" s="110" t="s">
        <v>279</v>
      </c>
      <c r="E11" s="396">
        <v>44270</v>
      </c>
      <c r="F11" s="396">
        <v>44926</v>
      </c>
      <c r="G11" s="397" t="s">
        <v>593</v>
      </c>
      <c r="H11" s="398" t="s">
        <v>1593</v>
      </c>
      <c r="I11" s="397" t="s">
        <v>1594</v>
      </c>
      <c r="J11" s="110" t="s">
        <v>1412</v>
      </c>
      <c r="K11" s="123" t="s">
        <v>594</v>
      </c>
      <c r="L11" s="123" t="s">
        <v>594</v>
      </c>
      <c r="M11" s="123" t="s">
        <v>308</v>
      </c>
      <c r="N11" s="123" t="s">
        <v>213</v>
      </c>
      <c r="O11" s="398" t="s">
        <v>273</v>
      </c>
      <c r="P11" s="123" t="s">
        <v>594</v>
      </c>
      <c r="Q11" s="123"/>
      <c r="R11" s="595">
        <v>0</v>
      </c>
      <c r="S11" s="123"/>
      <c r="T11" s="123"/>
      <c r="U11"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"&amp;M11&amp;")"&amp;" (Capability Solution: "&amp;CBA[[#This Row],[Capability Solution]]&amp;" - $"&amp;CBA[[#This Row],[Estimated Cost]]&amp;")"</f>
        <v>Defense Supply Chain Management: The procurement team wants to source specialized American armor steel, ballistic materials, powertrains, and components from qualified domestic suppliers to achieve reliable material availability that supports consistent production schedules for U.S. military contracts. (Production Stage: FOC -  IOC: 15-Mar-2021; FOC: 31-Dec-2022) (Objectives Supported: Automate Production Systems; Capability Analysis: NA; NA; CRA-1) (Capability Solution: NA - $0)</v>
      </c>
      <c r="V11" s="6"/>
    </row>
    <row r="12" spans="1:27" ht="48" x14ac:dyDescent="0.15">
      <c r="A12" s="594" t="s">
        <v>1299</v>
      </c>
      <c r="B12" s="110" t="s">
        <v>1342</v>
      </c>
      <c r="C12" s="110" t="s">
        <v>1305</v>
      </c>
      <c r="D12" s="110" t="s">
        <v>279</v>
      </c>
      <c r="E12" s="396">
        <v>42736</v>
      </c>
      <c r="F12" s="396">
        <v>44104</v>
      </c>
      <c r="G12" s="397" t="s">
        <v>593</v>
      </c>
      <c r="H12" s="398" t="s">
        <v>1595</v>
      </c>
      <c r="I12" s="397" t="s">
        <v>1596</v>
      </c>
      <c r="J12" s="110" t="s">
        <v>1411</v>
      </c>
      <c r="K12" s="123" t="s">
        <v>594</v>
      </c>
      <c r="L12" s="123" t="s">
        <v>594</v>
      </c>
      <c r="M12" s="123" t="s">
        <v>308</v>
      </c>
      <c r="N12" s="123" t="s">
        <v>213</v>
      </c>
      <c r="O12" s="398" t="s">
        <v>273</v>
      </c>
      <c r="P12" s="123" t="s">
        <v>594</v>
      </c>
      <c r="Q12" s="123"/>
      <c r="R12" s="595">
        <v>0</v>
      </c>
      <c r="S12" s="123"/>
      <c r="T12" s="123"/>
      <c r="U12"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"&amp;M12&amp;")"&amp;" (Capability Solution: "&amp;CBA[[#This Row],[Capability Solution]]&amp;" - $"&amp;CBA[[#This Row],[Estimated Cost]]&amp;")"</f>
        <v>Skilled Workforce Development and Retention: The human resources team recruits, trains, and retains specialized American welders, machinists, engineers, and manufacturing technicians to achieve workforce stability that maintains production quality and institutional knowledge critical to defense manufacturing excellence. (Production Stage: FOC -  IOC: 01-Jan-2017; FOC: 30-Sep-2020) (Objectives Supported: Maintain Made-in America Brand; Capability Analysis: NA; NA; CRA-1) (Capability Solution: NA - $0)</v>
      </c>
      <c r="V12" s="6"/>
    </row>
    <row r="13" spans="1:27" ht="64" x14ac:dyDescent="0.15">
      <c r="A13" s="594" t="s">
        <v>1300</v>
      </c>
      <c r="B13" s="110" t="s">
        <v>1312</v>
      </c>
      <c r="C13" s="110" t="s">
        <v>1305</v>
      </c>
      <c r="D13" s="110" t="s">
        <v>279</v>
      </c>
      <c r="E13" s="396">
        <v>42139</v>
      </c>
      <c r="F13" s="396">
        <v>42825</v>
      </c>
      <c r="G13" s="397" t="s">
        <v>284</v>
      </c>
      <c r="H13" s="398" t="s">
        <v>1597</v>
      </c>
      <c r="I13" s="397" t="s">
        <v>1598</v>
      </c>
      <c r="J13" s="110" t="s">
        <v>1606</v>
      </c>
      <c r="K13" s="123" t="s">
        <v>594</v>
      </c>
      <c r="L13" s="123" t="s">
        <v>594</v>
      </c>
      <c r="M13" s="123" t="s">
        <v>309</v>
      </c>
      <c r="N13" s="123" t="s">
        <v>213</v>
      </c>
      <c r="O13" s="398" t="s">
        <v>273</v>
      </c>
      <c r="P13" s="123" t="s">
        <v>594</v>
      </c>
      <c r="Q13" s="123"/>
      <c r="R13" s="595">
        <v>0</v>
      </c>
      <c r="S13" s="123"/>
      <c r="T13" s="123"/>
      <c r="U13"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"&amp;M13&amp;")"&amp;" (Capability Solution: "&amp;CBA[[#This Row],[Capability Solution]]&amp;" - $"&amp;CBA[[#This Row],[Estimated Cost]]&amp;")"</f>
        <v>Mobility and Powertrain Engineering: The powertrain engineering team designs and optimizes engine systems, transmissions, suspension, and drivetrain components to achieve superior mobility that enables U.S. forces to maneuver effectively across diverse North American and European terrain. (Production Stage: FOC -  IOC: 15-May-2015; FOC: 31-Mar-2017) (Objectives Supported: Deploy Next-Generation Vehicle, Maintain Made-in America Brand, Build Partnership Network, Deploy Climate-Adapted Vehicle; Capability Analysis: NA; NA; CRA-2) (Capability Solution: NA - $0)</v>
      </c>
      <c r="V13" s="6"/>
    </row>
    <row r="14" spans="1:27" ht="64" x14ac:dyDescent="0.15">
      <c r="A14" s="110" t="s">
        <v>1301</v>
      </c>
      <c r="B14" s="110" t="s">
        <v>1302</v>
      </c>
      <c r="C14" s="110" t="s">
        <v>1305</v>
      </c>
      <c r="D14" s="110" t="s">
        <v>278</v>
      </c>
      <c r="E14" s="396">
        <v>42205</v>
      </c>
      <c r="F14" s="396">
        <v>46736</v>
      </c>
      <c r="G14" s="397" t="s">
        <v>284</v>
      </c>
      <c r="H14" s="398" t="s">
        <v>1599</v>
      </c>
      <c r="I14" s="397" t="s">
        <v>1600</v>
      </c>
      <c r="J14" s="110" t="s">
        <v>1606</v>
      </c>
      <c r="K14" s="123" t="s">
        <v>594</v>
      </c>
      <c r="L14" s="123" t="s">
        <v>594</v>
      </c>
      <c r="M14" s="123" t="s">
        <v>310</v>
      </c>
      <c r="N14" s="123" t="s">
        <v>213</v>
      </c>
      <c r="O14" s="398" t="s">
        <v>273</v>
      </c>
      <c r="P14" s="123" t="s">
        <v>594</v>
      </c>
      <c r="Q14" s="123"/>
      <c r="R14" s="595">
        <v>0</v>
      </c>
      <c r="S14" s="123"/>
      <c r="T14" s="123"/>
      <c r="U14"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"&amp;M14&amp;")"&amp;" (Capability Solution: "&amp;CBA[[#This Row],[Capability Solution]]&amp;" - $"&amp;CBA[[#This Row],[Estimated Cost]]&amp;")"</f>
        <v>Prototype Development and Testing: The advanced programs team wants to rapidly design, fabricate, and validate prototype vehicles for competitive bid proposals and technology demonstrations to achieve speed-to-market that wins new U.S. military program awards against competitor offerings. (Production Stage: IOC -  IOC: 20-Jul-2015; FOC: 15-Dec-2027) (Objectives Supported: Deploy Next-Generation Vehicle, Maintain Made-in America Brand, Build Partnership Network, Deploy Climate-Adapted Vehicle; Capability Analysis: NA; NA; CRA-3) (Capability Solution: NA - $0)</v>
      </c>
      <c r="V14" s="6"/>
    </row>
    <row r="15" spans="1:27" ht="48" x14ac:dyDescent="0.15">
      <c r="A15" s="110" t="s">
        <v>1303</v>
      </c>
      <c r="B15" s="110" t="s">
        <v>1309</v>
      </c>
      <c r="C15" s="110" t="s">
        <v>1305</v>
      </c>
      <c r="D15" s="110" t="s">
        <v>279</v>
      </c>
      <c r="E15" s="396">
        <v>42979</v>
      </c>
      <c r="F15" s="396">
        <v>44347</v>
      </c>
      <c r="G15" s="397" t="s">
        <v>285</v>
      </c>
      <c r="H15" s="398" t="s">
        <v>1601</v>
      </c>
      <c r="I15" s="397" t="s">
        <v>1602</v>
      </c>
      <c r="J15" s="110" t="s">
        <v>1416</v>
      </c>
      <c r="K15" s="123" t="s">
        <v>289</v>
      </c>
      <c r="L15" s="123" t="s">
        <v>297</v>
      </c>
      <c r="M15" s="123" t="s">
        <v>310</v>
      </c>
      <c r="N15" s="123" t="s">
        <v>192</v>
      </c>
      <c r="O15" s="398" t="s">
        <v>272</v>
      </c>
      <c r="P15" s="123" t="s">
        <v>312</v>
      </c>
      <c r="Q15" s="176" t="s">
        <v>1610</v>
      </c>
      <c r="R15" s="595">
        <v>0</v>
      </c>
      <c r="S15" s="123" t="s">
        <v>213</v>
      </c>
      <c r="T15" s="176">
        <v>7</v>
      </c>
      <c r="U15"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"&amp;M15&amp;")"&amp;" (Capability Solution: "&amp;CBA[[#This Row],[Capability Solution]]&amp;" - $"&amp;CBA[[#This Row],[Estimated Cost]]&amp;")"</f>
        <v>Intellectual Property Protection and Management: The legal team patents armor technologies, manufacturing processes, and design innovations while protecting trade secrets to achieve defensible competitive advantages that prevent competitors from replicating Sentinel's technological superiority. (Production Stage: FOC -  IOC: 01-Sep-2017; FOC: 31-May-2021) (Objectives Supported: Establish Export Compliance Office; Capability Analysis: Redundant; Lack of Proficiency; CRA-3) (Capability Solution: Non-Material - $0)</v>
      </c>
      <c r="V15" s="6"/>
    </row>
    <row r="16" spans="1:27" ht="48" x14ac:dyDescent="0.15">
      <c r="A16" s="594" t="s">
        <v>1304</v>
      </c>
      <c r="B16" s="110" t="s">
        <v>1553</v>
      </c>
      <c r="C16" s="110" t="s">
        <v>1305</v>
      </c>
      <c r="D16" s="110" t="s">
        <v>279</v>
      </c>
      <c r="E16" s="396">
        <v>42536</v>
      </c>
      <c r="F16" s="396">
        <v>43799</v>
      </c>
      <c r="G16" s="397" t="s">
        <v>285</v>
      </c>
      <c r="H16" s="398" t="s">
        <v>1603</v>
      </c>
      <c r="I16" s="397" t="s">
        <v>1604</v>
      </c>
      <c r="J16" s="110" t="s">
        <v>1423</v>
      </c>
      <c r="K16" s="123" t="s">
        <v>594</v>
      </c>
      <c r="L16" s="123" t="s">
        <v>594</v>
      </c>
      <c r="M16" s="123" t="s">
        <v>308</v>
      </c>
      <c r="N16" s="123" t="s">
        <v>213</v>
      </c>
      <c r="O16" s="398" t="s">
        <v>273</v>
      </c>
      <c r="P16" s="123" t="s">
        <v>594</v>
      </c>
      <c r="Q16" s="123"/>
      <c r="R16" s="595">
        <v>0</v>
      </c>
      <c r="S16" s="123"/>
      <c r="T16" s="123"/>
      <c r="U16"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"&amp;M16&amp;")"&amp;" (Capability Solution: "&amp;CBA[[#This Row],[Capability Solution]]&amp;" - $"&amp;CBA[[#This Row],[Estimated Cost]]&amp;")"</f>
        <v>U.S. Government Relations and Advocacy: The government affairs team engages with Congressional defense committees, DoD leadership, and military service branches to achieve favorable policy positions that support armored vehicle modernization programs and procurement priorities aligned with Sentinel's capabilities. (Production Stage: FOC -  IOC: 15-Jun-2016; FOC: 30-Nov-2019) (Objectives Supported: Secure Favorable Regulatory Environment; Capability Analysis: NA; NA; CRA-1) (Capability Solution: NA - $0)</v>
      </c>
      <c r="V16" s="6"/>
    </row>
    <row r="17" spans="1:22" ht="48" x14ac:dyDescent="0.15">
      <c r="A17" s="110" t="s">
        <v>1554</v>
      </c>
      <c r="B17" s="110" t="s">
        <v>1555</v>
      </c>
      <c r="C17" s="110" t="s">
        <v>2261</v>
      </c>
      <c r="D17" s="110" t="s">
        <v>605</v>
      </c>
      <c r="E17" s="396">
        <v>47483</v>
      </c>
      <c r="F17" s="396">
        <v>48579</v>
      </c>
      <c r="G17" s="397" t="s">
        <v>284</v>
      </c>
      <c r="H17" s="398" t="s">
        <v>1565</v>
      </c>
      <c r="I17" s="397" t="s">
        <v>1566</v>
      </c>
      <c r="J17" s="110" t="s">
        <v>1413</v>
      </c>
      <c r="K17" s="123" t="s">
        <v>288</v>
      </c>
      <c r="L17" s="123" t="s">
        <v>299</v>
      </c>
      <c r="M17" s="123" t="s">
        <v>308</v>
      </c>
      <c r="N17" s="123" t="s">
        <v>213</v>
      </c>
      <c r="O17" s="398" t="s">
        <v>273</v>
      </c>
      <c r="P17" s="123" t="s">
        <v>311</v>
      </c>
      <c r="Q17" s="176" t="s">
        <v>1611</v>
      </c>
      <c r="R17" s="399">
        <v>62500000</v>
      </c>
      <c r="S17" s="123" t="s">
        <v>192</v>
      </c>
      <c r="T17" s="176">
        <v>6</v>
      </c>
      <c r="U17"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"&amp;M17&amp;")"&amp;" (Capability Solution: "&amp;CBA[[#This Row],[Capability Solution]]&amp;" - $"&amp;CBA[[#This Row],[Estimated Cost]]&amp;")"</f>
        <v>Tropical Climate Vehicle Engineering: The engineering team wants to develop climate-hardened platforms to achieve superior performance in Southeast Asian operational environments. (Production Stage: Unprogrammed -  IOC: 31-Dec-2029; FOC: 31-Dec-2032) (Objectives Supported: Deploy Climate-Adapted Vehicle; Capability Analysis: Gap; Lack of Field Capability; CRA-1) (Capability Solution: Material - $62500000)</v>
      </c>
      <c r="V17" s="6"/>
    </row>
    <row r="18" spans="1:22" ht="48" x14ac:dyDescent="0.15">
      <c r="A18" s="110" t="s">
        <v>1561</v>
      </c>
      <c r="B18" s="110" t="s">
        <v>1562</v>
      </c>
      <c r="C18" s="110" t="s">
        <v>2261</v>
      </c>
      <c r="D18" s="110" t="s">
        <v>605</v>
      </c>
      <c r="E18" s="396">
        <v>46388</v>
      </c>
      <c r="F18" s="396">
        <v>47026</v>
      </c>
      <c r="G18" s="397" t="s">
        <v>284</v>
      </c>
      <c r="H18" s="398" t="s">
        <v>1568</v>
      </c>
      <c r="I18" s="397" t="s">
        <v>1569</v>
      </c>
      <c r="J18" s="110" t="s">
        <v>1567</v>
      </c>
      <c r="K18" s="123" t="s">
        <v>288</v>
      </c>
      <c r="L18" s="123" t="s">
        <v>299</v>
      </c>
      <c r="M18" s="123" t="s">
        <v>308</v>
      </c>
      <c r="N18" s="123" t="s">
        <v>213</v>
      </c>
      <c r="O18" s="398" t="s">
        <v>273</v>
      </c>
      <c r="P18" s="123" t="s">
        <v>311</v>
      </c>
      <c r="Q18" s="176" t="s">
        <v>1612</v>
      </c>
      <c r="R18" s="399">
        <v>7000000</v>
      </c>
      <c r="S18" s="123" t="s">
        <v>192</v>
      </c>
      <c r="T18" s="176">
        <v>1</v>
      </c>
      <c r="U18"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"&amp;M18&amp;")"&amp;" (Capability Solution: "&amp;CBA[[#This Row],[Capability Solution]]&amp;" - $"&amp;CBA[[#This Row],[Estimated Cost]]&amp;")"</f>
        <v>Foreign Military Sales: The regional division wants to build government partnerships and manage joint ventures to achieve market access and contract awards. (Production Stage: Unprogrammed -  IOC: 01-Jan-2027; FOC: 30-Sep-2028) (Objectives Supported: Establish Southeast Asian Division, Build Partnership Network; Capability Analysis: Gap; Lack of Field Capability; CRA-1) (Capability Solution: Material - $7000000)</v>
      </c>
      <c r="V18" s="6"/>
    </row>
    <row r="19" spans="1:22" ht="64" x14ac:dyDescent="0.15">
      <c r="A19" s="110" t="s">
        <v>1293</v>
      </c>
      <c r="B19" s="110" t="s">
        <v>1563</v>
      </c>
      <c r="C19" s="110" t="s">
        <v>2261</v>
      </c>
      <c r="D19" s="110" t="s">
        <v>605</v>
      </c>
      <c r="E19" s="396">
        <v>46813</v>
      </c>
      <c r="F19" s="396">
        <v>47483</v>
      </c>
      <c r="G19" s="397" t="s">
        <v>284</v>
      </c>
      <c r="H19" s="398" t="s">
        <v>1571</v>
      </c>
      <c r="I19" s="397" t="s">
        <v>1572</v>
      </c>
      <c r="J19" s="110" t="s">
        <v>1570</v>
      </c>
      <c r="K19" s="123" t="s">
        <v>288</v>
      </c>
      <c r="L19" s="123" t="s">
        <v>297</v>
      </c>
      <c r="M19" s="123" t="s">
        <v>308</v>
      </c>
      <c r="N19" s="123" t="s">
        <v>213</v>
      </c>
      <c r="O19" s="398" t="s">
        <v>273</v>
      </c>
      <c r="P19" s="123" t="s">
        <v>312</v>
      </c>
      <c r="Q19" s="176" t="s">
        <v>1613</v>
      </c>
      <c r="R19" s="399">
        <v>2500000</v>
      </c>
      <c r="S19" s="123" t="s">
        <v>192</v>
      </c>
      <c r="T19" s="176">
        <v>2</v>
      </c>
      <c r="U19"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"&amp;M19&amp;")"&amp;" (Capability Solution: "&amp;CBA[[#This Row],[Capability Solution]]&amp;" - $"&amp;CBA[[#This Row],[Estimated Cost]]&amp;")"</f>
        <v>U.S. Export Control Compliance: The compliance team wants to manage ITAR registration and technology control plans to achieve compliant defense article operations. (Production Stage: Unprogrammed -  IOC: 01-Mar-2028; FOC: 31-Dec-2029) (Objectives Supported: Establish Export Compliance Office, Secure Favorable Regulatory Environment; Capability Analysis: Gap; Lack of Proficiency; CRA-1) (Capability Solution: Non-Material - $2500000)</v>
      </c>
      <c r="V19" s="6"/>
    </row>
    <row r="20" spans="1:22" ht="48" x14ac:dyDescent="0.15">
      <c r="A20" s="110" t="s">
        <v>1556</v>
      </c>
      <c r="B20" s="110" t="s">
        <v>1557</v>
      </c>
      <c r="C20" s="110" t="s">
        <v>2261</v>
      </c>
      <c r="D20" s="110" t="s">
        <v>605</v>
      </c>
      <c r="E20" s="396">
        <v>46752</v>
      </c>
      <c r="F20" s="396">
        <v>47118</v>
      </c>
      <c r="G20" s="397" t="s">
        <v>284</v>
      </c>
      <c r="H20" s="398" t="s">
        <v>1573</v>
      </c>
      <c r="I20" s="397" t="s">
        <v>1574</v>
      </c>
      <c r="J20" s="110" t="s">
        <v>1410</v>
      </c>
      <c r="K20" s="123" t="s">
        <v>288</v>
      </c>
      <c r="L20" s="123" t="s">
        <v>299</v>
      </c>
      <c r="M20" s="123" t="s">
        <v>309</v>
      </c>
      <c r="N20" s="123" t="s">
        <v>213</v>
      </c>
      <c r="O20" s="398" t="s">
        <v>273</v>
      </c>
      <c r="P20" s="123" t="s">
        <v>311</v>
      </c>
      <c r="Q20" s="176" t="s">
        <v>1614</v>
      </c>
      <c r="R20" s="399">
        <v>20000000</v>
      </c>
      <c r="S20" s="123" t="s">
        <v>192</v>
      </c>
      <c r="T20" s="176">
        <v>8</v>
      </c>
      <c r="U20"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"&amp;M20&amp;")"&amp;" (Capability Solution: "&amp;CBA[[#This Row],[Capability Solution]]&amp;" - $"&amp;CBA[[#This Row],[Estimated Cost]]&amp;")"</f>
        <v>Regional Aftermarket Support Network: The customer support team wants to establish local service capabilities to achieve sustained vehicle readiness for Southeast Asian customers. (Production Stage: Unprogrammed -  IOC: 31-Dec-2027; FOC: 31-Dec-2028) (Objectives Supported: Build Partnership Network; Capability Analysis: Gap; Lack of Field Capability; CRA-2) (Capability Solution: Material - $20000000)</v>
      </c>
      <c r="V20" s="6"/>
    </row>
    <row r="21" spans="1:22" ht="64" x14ac:dyDescent="0.15">
      <c r="A21" s="110" t="s">
        <v>1367</v>
      </c>
      <c r="B21" s="110" t="s">
        <v>1558</v>
      </c>
      <c r="C21" s="110" t="s">
        <v>2261</v>
      </c>
      <c r="D21" s="110" t="s">
        <v>605</v>
      </c>
      <c r="E21" s="396">
        <v>47574</v>
      </c>
      <c r="F21" s="396">
        <v>48579</v>
      </c>
      <c r="G21" s="397" t="s">
        <v>593</v>
      </c>
      <c r="H21" s="398" t="s">
        <v>1575</v>
      </c>
      <c r="I21" s="397" t="s">
        <v>1576</v>
      </c>
      <c r="J21" s="110" t="s">
        <v>1412</v>
      </c>
      <c r="K21" s="123" t="s">
        <v>288</v>
      </c>
      <c r="L21" s="123" t="s">
        <v>298</v>
      </c>
      <c r="M21" s="123" t="s">
        <v>308</v>
      </c>
      <c r="N21" s="123" t="s">
        <v>213</v>
      </c>
      <c r="O21" s="398" t="s">
        <v>273</v>
      </c>
      <c r="P21" s="123" t="s">
        <v>312</v>
      </c>
      <c r="Q21" s="176" t="s">
        <v>1615</v>
      </c>
      <c r="R21" s="399">
        <v>178000000</v>
      </c>
      <c r="S21" s="123" t="s">
        <v>192</v>
      </c>
      <c r="T21" s="176">
        <v>4</v>
      </c>
      <c r="U21"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"&amp;M21&amp;")"&amp;" (Capability Solution: "&amp;CBA[[#This Row],[Capability Solution]]&amp;" - $"&amp;CBA[[#This Row],[Estimated Cost]]&amp;")"</f>
        <v>Dual-Market Production Capacity: The manufacturing operations team wants to automate production systems to achieve simultaneous U.S. and Southeast Asian contract fulfillment. (Production Stage: Unprogrammed -  IOC: 01-Apr-2030; FOC: 31-Dec-2032) (Objectives Supported: Automate Production Systems; Capability Analysis: Gap; Lack of Sufficiency; CRA-1) (Capability Solution: Non-Material - $178000000)</v>
      </c>
      <c r="V21" s="6"/>
    </row>
    <row r="22" spans="1:22" ht="48" x14ac:dyDescent="0.15">
      <c r="A22" s="110" t="s">
        <v>1559</v>
      </c>
      <c r="B22" s="110" t="s">
        <v>1560</v>
      </c>
      <c r="C22" s="110" t="s">
        <v>2261</v>
      </c>
      <c r="D22" s="110" t="s">
        <v>605</v>
      </c>
      <c r="E22" s="396">
        <v>46813</v>
      </c>
      <c r="F22" s="396">
        <v>47299</v>
      </c>
      <c r="G22" s="397" t="s">
        <v>284</v>
      </c>
      <c r="H22" s="398" t="s">
        <v>1577</v>
      </c>
      <c r="I22" s="397" t="s">
        <v>1578</v>
      </c>
      <c r="J22" s="110" t="s">
        <v>1366</v>
      </c>
      <c r="K22" s="123" t="s">
        <v>288</v>
      </c>
      <c r="L22" s="123" t="s">
        <v>299</v>
      </c>
      <c r="M22" s="123" t="s">
        <v>308</v>
      </c>
      <c r="N22" s="123" t="s">
        <v>213</v>
      </c>
      <c r="O22" s="398" t="s">
        <v>273</v>
      </c>
      <c r="P22" s="123" t="s">
        <v>311</v>
      </c>
      <c r="Q22" s="176" t="s">
        <v>1616</v>
      </c>
      <c r="R22" s="399">
        <v>12500000</v>
      </c>
      <c r="S22" s="123" t="s">
        <v>192</v>
      </c>
      <c r="T22" s="176">
        <v>3</v>
      </c>
      <c r="U22" s="123" t="str">
        <f>CBA[[#This Row],[Capability Name]]&amp;": "&amp;CBA[[#This Row],[Capability Description]]&amp;" (Production Stage: "&amp;CBA[[#This Row],[Production Stage]]&amp;" -  IOC: "&amp;TEXT(CBA[[#This Row],[IOC Expected Date]],"DD-MMM-YYYY")&amp;"; FOC: "&amp;TEXT(CBA[[#This Row],[FOC Expected Date]],"DD-MMM-YYYY")&amp;") (Objectives Supported: "&amp;CBA[[#This Row],[Objectives Supported]]&amp;"; Capability Analysis: "&amp;CBA[[#This Row],[Capability Analysis]]&amp;"; "&amp;CBA[[#This Row],[Gap Characterization]]&amp;"; "&amp;M22&amp;")"&amp;" (Capability Solution: "&amp;CBA[[#This Row],[Capability Solution]]&amp;" - $"&amp;CBA[[#This Row],[Estimated Cost]]&amp;")"</f>
        <v>Advanced Cyber Protection Infrastructure: The information security team wants to implement sophisticated defenses to achieve protection of proprietary technologies from nation-state threats. (Production Stage: Unprogrammed -  IOC: 01-Mar-2028; FOC: 30-Jun-2029) (Objectives Supported: U.S. DoD Dominance Retention; Capability Analysis: Gap; Lack of Field Capability; CRA-1) (Capability Solution: Material - $12500000)</v>
      </c>
      <c r="V22" s="6"/>
    </row>
    <row r="23" spans="1:22" x14ac:dyDescent="0.2">
      <c r="F23" s="6"/>
      <c r="J23" s="1"/>
      <c r="L23" s="1"/>
      <c r="M23" s="1"/>
      <c r="N23" s="6"/>
      <c r="U23" s="119"/>
      <c r="V23" s="6"/>
    </row>
    <row r="24" spans="1:22" x14ac:dyDescent="0.2">
      <c r="F24" s="6"/>
      <c r="J24" s="1"/>
      <c r="L24" s="1"/>
      <c r="M24" s="1"/>
      <c r="N24" s="6"/>
      <c r="U24" s="119"/>
      <c r="V24" s="6"/>
    </row>
    <row r="25" spans="1:22" x14ac:dyDescent="0.2">
      <c r="F25" s="6"/>
      <c r="J25" s="1"/>
      <c r="L25" s="1"/>
      <c r="M25" s="1"/>
      <c r="N25" s="6"/>
      <c r="U25" s="119"/>
      <c r="V25" s="6"/>
    </row>
    <row r="26" spans="1:22" x14ac:dyDescent="0.2">
      <c r="F26" s="6"/>
      <c r="J26" s="1"/>
      <c r="L26" s="1"/>
      <c r="M26" s="1"/>
      <c r="N26" s="6"/>
      <c r="U26" s="119"/>
      <c r="V26" s="6"/>
    </row>
    <row r="27" spans="1:22" x14ac:dyDescent="0.2">
      <c r="F27" s="6"/>
      <c r="J27" s="1"/>
      <c r="L27" s="1"/>
      <c r="M27" s="1"/>
      <c r="N27" s="6"/>
      <c r="R27" s="596"/>
      <c r="U27" s="119"/>
      <c r="V27" s="6"/>
    </row>
    <row r="28" spans="1:22" x14ac:dyDescent="0.2">
      <c r="F28" s="6"/>
      <c r="J28" s="1"/>
      <c r="L28" s="1"/>
      <c r="M28" s="1"/>
      <c r="N28" s="6"/>
      <c r="U28" s="119"/>
      <c r="V28" s="6"/>
    </row>
    <row r="29" spans="1:22" x14ac:dyDescent="0.2">
      <c r="F29" s="6"/>
      <c r="J29" s="1"/>
      <c r="L29" s="1"/>
      <c r="M29" s="1"/>
      <c r="N29" s="6"/>
      <c r="U29" s="119"/>
      <c r="V29" s="6"/>
    </row>
    <row r="30" spans="1:22" x14ac:dyDescent="0.2">
      <c r="F30" s="6"/>
      <c r="J30" s="1"/>
      <c r="L30" s="1"/>
      <c r="M30" s="1"/>
      <c r="N30" s="6"/>
      <c r="U30" s="119"/>
      <c r="V30" s="6"/>
    </row>
    <row r="31" spans="1:22" x14ac:dyDescent="0.2">
      <c r="F31" s="6"/>
      <c r="J31" s="1"/>
      <c r="L31" s="1"/>
      <c r="M31" s="1"/>
      <c r="N31" s="6"/>
      <c r="U31" s="119"/>
      <c r="V31" s="6"/>
    </row>
    <row r="32" spans="1:22" x14ac:dyDescent="0.2">
      <c r="F32" s="6"/>
      <c r="J32" s="1"/>
      <c r="L32" s="1"/>
      <c r="M32" s="1"/>
      <c r="N32" s="6"/>
      <c r="U32" s="119"/>
      <c r="V32" s="6"/>
    </row>
    <row r="33" spans="10:22" x14ac:dyDescent="0.2">
      <c r="J33" s="1"/>
      <c r="L33" s="1"/>
      <c r="M33" s="1"/>
      <c r="N33" s="6"/>
      <c r="U33" s="119"/>
      <c r="V33" s="6"/>
    </row>
    <row r="34" spans="10:22" x14ac:dyDescent="0.2">
      <c r="L34" s="1"/>
      <c r="M34" s="1"/>
      <c r="N34" s="6"/>
      <c r="U34" s="119"/>
      <c r="V34" s="6"/>
    </row>
    <row r="35" spans="10:22" x14ac:dyDescent="0.2">
      <c r="L35" s="1"/>
      <c r="M35" s="1"/>
      <c r="N35" s="6"/>
      <c r="U35" s="119"/>
      <c r="V35" s="6"/>
    </row>
    <row r="36" spans="10:22" x14ac:dyDescent="0.2">
      <c r="L36" s="1"/>
      <c r="M36" s="1"/>
      <c r="N36" s="6"/>
      <c r="U36" s="119"/>
      <c r="V36" s="6"/>
    </row>
    <row r="37" spans="10:22" x14ac:dyDescent="0.2">
      <c r="L37" s="1"/>
      <c r="M37" s="1"/>
      <c r="N37" s="6"/>
      <c r="U37" s="119"/>
      <c r="V37" s="6"/>
    </row>
    <row r="38" spans="10:22" x14ac:dyDescent="0.2">
      <c r="L38" s="1"/>
      <c r="M38" s="1"/>
      <c r="N38" s="6"/>
      <c r="U38" s="119"/>
      <c r="V38" s="6"/>
    </row>
    <row r="39" spans="10:22" x14ac:dyDescent="0.2">
      <c r="L39" s="1"/>
      <c r="M39" s="1"/>
      <c r="N39" s="6"/>
      <c r="U39" s="119"/>
      <c r="V39" s="6"/>
    </row>
    <row r="40" spans="10:22" x14ac:dyDescent="0.2">
      <c r="L40" s="1"/>
      <c r="M40" s="1"/>
      <c r="N40" s="6"/>
      <c r="U40" s="119"/>
      <c r="V40" s="6"/>
    </row>
    <row r="41" spans="10:22" x14ac:dyDescent="0.2">
      <c r="L41" s="1"/>
      <c r="M41" s="1"/>
      <c r="N41" s="6"/>
      <c r="U41" s="119"/>
      <c r="V41" s="6"/>
    </row>
    <row r="42" spans="10:22" x14ac:dyDescent="0.2">
      <c r="L42" s="1"/>
      <c r="M42" s="1"/>
      <c r="N42" s="6"/>
      <c r="U42" s="119"/>
      <c r="V42" s="6"/>
    </row>
    <row r="43" spans="10:22" x14ac:dyDescent="0.2">
      <c r="L43" s="1"/>
      <c r="M43" s="1"/>
      <c r="N43" s="6"/>
      <c r="U43" s="119"/>
      <c r="V43" s="6"/>
    </row>
    <row r="44" spans="10:22" x14ac:dyDescent="0.2">
      <c r="L44" s="1"/>
      <c r="M44" s="1"/>
      <c r="N44" s="6"/>
      <c r="U44" s="119"/>
      <c r="V44" s="6"/>
    </row>
    <row r="45" spans="10:22" x14ac:dyDescent="0.2">
      <c r="L45" s="1"/>
      <c r="M45" s="1"/>
      <c r="N45" s="6"/>
      <c r="U45" s="119"/>
      <c r="V45" s="6"/>
    </row>
    <row r="46" spans="10:22" x14ac:dyDescent="0.2">
      <c r="L46" s="1"/>
      <c r="M46" s="1"/>
      <c r="N46" s="6"/>
      <c r="U46" s="119"/>
      <c r="V46" s="6"/>
    </row>
    <row r="47" spans="10:22" x14ac:dyDescent="0.2">
      <c r="L47" s="1"/>
      <c r="M47" s="1"/>
      <c r="N47" s="6"/>
      <c r="U47" s="119"/>
      <c r="V47" s="6"/>
    </row>
    <row r="48" spans="10:22" x14ac:dyDescent="0.2">
      <c r="L48" s="1"/>
      <c r="M48" s="1"/>
      <c r="N48" s="6"/>
      <c r="U48" s="119"/>
      <c r="V48" s="6"/>
    </row>
    <row r="49" spans="12:22" x14ac:dyDescent="0.2">
      <c r="L49" s="1"/>
      <c r="M49" s="1"/>
      <c r="N49" s="6"/>
      <c r="U49" s="119"/>
      <c r="V49" s="6"/>
    </row>
    <row r="50" spans="12:22" x14ac:dyDescent="0.2">
      <c r="L50" s="1"/>
      <c r="M50" s="1"/>
      <c r="N50" s="6"/>
      <c r="U50" s="119"/>
      <c r="V50" s="6"/>
    </row>
    <row r="51" spans="12:22" x14ac:dyDescent="0.2">
      <c r="L51" s="1"/>
      <c r="M51" s="1"/>
      <c r="N51" s="6"/>
      <c r="U51" s="119"/>
      <c r="V51" s="6"/>
    </row>
    <row r="52" spans="12:22" x14ac:dyDescent="0.2">
      <c r="L52" s="1"/>
      <c r="M52" s="1"/>
      <c r="N52" s="6"/>
      <c r="U52" s="119"/>
      <c r="V52" s="6"/>
    </row>
    <row r="53" spans="12:22" x14ac:dyDescent="0.2">
      <c r="L53" s="1"/>
      <c r="M53" s="1"/>
      <c r="N53" s="6"/>
      <c r="U53" s="119"/>
      <c r="V53" s="6"/>
    </row>
    <row r="54" spans="12:22" x14ac:dyDescent="0.2">
      <c r="L54" s="1"/>
      <c r="M54" s="1"/>
      <c r="N54" s="6"/>
      <c r="U54" s="119"/>
      <c r="V54" s="6"/>
    </row>
    <row r="55" spans="12:22" x14ac:dyDescent="0.2">
      <c r="L55" s="1"/>
      <c r="M55" s="1"/>
      <c r="N55" s="6"/>
      <c r="U55" s="119"/>
      <c r="V55" s="6"/>
    </row>
    <row r="56" spans="12:22" x14ac:dyDescent="0.2">
      <c r="L56" s="1"/>
      <c r="M56" s="1"/>
      <c r="N56" s="6"/>
      <c r="U56" s="119"/>
      <c r="V56" s="6"/>
    </row>
    <row r="57" spans="12:22" x14ac:dyDescent="0.2">
      <c r="L57" s="1"/>
      <c r="M57" s="1"/>
      <c r="N57" s="6"/>
      <c r="U57" s="119"/>
      <c r="V57" s="6"/>
    </row>
    <row r="58" spans="12:22" x14ac:dyDescent="0.2">
      <c r="L58" s="1"/>
      <c r="M58" s="1"/>
      <c r="N58" s="6"/>
      <c r="U58" s="119"/>
      <c r="V58" s="6"/>
    </row>
    <row r="59" spans="12:22" x14ac:dyDescent="0.2">
      <c r="L59" s="1"/>
      <c r="M59" s="1"/>
      <c r="N59" s="6"/>
    </row>
    <row r="60" spans="12:22" x14ac:dyDescent="0.2">
      <c r="L60" s="1"/>
      <c r="M60" s="1"/>
      <c r="N60" s="6"/>
    </row>
    <row r="61" spans="12:22" x14ac:dyDescent="0.2">
      <c r="L61" s="1"/>
      <c r="M61" s="1"/>
      <c r="N61" s="6"/>
    </row>
    <row r="62" spans="12:22" x14ac:dyDescent="0.2">
      <c r="L62" s="1"/>
      <c r="M62" s="1"/>
      <c r="N62" s="6"/>
    </row>
    <row r="63" spans="12:22" x14ac:dyDescent="0.2">
      <c r="L63" s="1"/>
      <c r="M63" s="1"/>
      <c r="N63" s="6"/>
    </row>
    <row r="64" spans="12:22" x14ac:dyDescent="0.2">
      <c r="L64" s="1"/>
      <c r="M64" s="1"/>
      <c r="N64" s="6"/>
    </row>
    <row r="65" spans="12:14" x14ac:dyDescent="0.2">
      <c r="L65" s="1"/>
      <c r="M65" s="1"/>
      <c r="N65" s="6"/>
    </row>
    <row r="66" spans="12:14" x14ac:dyDescent="0.2">
      <c r="L66" s="1"/>
      <c r="M66" s="1"/>
      <c r="N66" s="6"/>
    </row>
    <row r="67" spans="12:14" x14ac:dyDescent="0.2">
      <c r="L67" s="1"/>
      <c r="M67" s="1"/>
      <c r="N67" s="6"/>
    </row>
    <row r="68" spans="12:14" x14ac:dyDescent="0.2">
      <c r="L68" s="1"/>
      <c r="M68" s="1"/>
      <c r="N68" s="6"/>
    </row>
    <row r="69" spans="12:14" x14ac:dyDescent="0.2">
      <c r="L69" s="1"/>
      <c r="M69" s="1"/>
      <c r="N69" s="6"/>
    </row>
    <row r="70" spans="12:14" x14ac:dyDescent="0.2">
      <c r="L70" s="1"/>
      <c r="M70" s="1"/>
      <c r="N70" s="6"/>
    </row>
    <row r="71" spans="12:14" x14ac:dyDescent="0.2">
      <c r="L71" s="1"/>
      <c r="M71" s="1"/>
      <c r="N71" s="6"/>
    </row>
    <row r="72" spans="12:14" x14ac:dyDescent="0.2">
      <c r="L72" s="1"/>
      <c r="M72" s="1"/>
      <c r="N72" s="6"/>
    </row>
    <row r="73" spans="12:14" x14ac:dyDescent="0.2">
      <c r="L73" s="1"/>
      <c r="M73" s="1"/>
      <c r="N73" s="6"/>
    </row>
    <row r="74" spans="12:14" x14ac:dyDescent="0.2">
      <c r="L74" s="1"/>
      <c r="M74" s="1"/>
      <c r="N74" s="6"/>
    </row>
    <row r="75" spans="12:14" x14ac:dyDescent="0.2">
      <c r="L75" s="1"/>
      <c r="M75" s="1"/>
      <c r="N75" s="6"/>
    </row>
    <row r="76" spans="12:14" x14ac:dyDescent="0.2">
      <c r="L76" s="1"/>
      <c r="M76" s="1"/>
      <c r="N76" s="6"/>
    </row>
    <row r="77" spans="12:14" x14ac:dyDescent="0.2">
      <c r="L77" s="1"/>
      <c r="M77" s="1"/>
      <c r="N77" s="6"/>
    </row>
    <row r="78" spans="12:14" x14ac:dyDescent="0.2">
      <c r="L78" s="1"/>
      <c r="M78" s="1"/>
      <c r="N78" s="6"/>
    </row>
    <row r="79" spans="12:14" x14ac:dyDescent="0.2">
      <c r="L79" s="1"/>
      <c r="M79" s="1"/>
      <c r="N79" s="6"/>
    </row>
    <row r="80" spans="12:14" x14ac:dyDescent="0.2">
      <c r="L80" s="1"/>
      <c r="M80" s="1"/>
      <c r="N80" s="6"/>
    </row>
    <row r="81" spans="12:14" x14ac:dyDescent="0.2">
      <c r="L81" s="1"/>
      <c r="M81" s="1"/>
      <c r="N81" s="6"/>
    </row>
    <row r="82" spans="12:14" x14ac:dyDescent="0.2">
      <c r="L82" s="1"/>
      <c r="M82" s="1"/>
      <c r="N82" s="6"/>
    </row>
    <row r="83" spans="12:14" x14ac:dyDescent="0.2">
      <c r="L83" s="1"/>
      <c r="M83" s="1"/>
      <c r="N83" s="6"/>
    </row>
    <row r="84" spans="12:14" x14ac:dyDescent="0.2">
      <c r="L84" s="1"/>
      <c r="M84" s="1"/>
      <c r="N84" s="6"/>
    </row>
    <row r="85" spans="12:14" x14ac:dyDescent="0.2">
      <c r="L85" s="1"/>
      <c r="M85" s="1"/>
      <c r="N85" s="6"/>
    </row>
    <row r="86" spans="12:14" x14ac:dyDescent="0.2">
      <c r="L86" s="1"/>
      <c r="M86" s="1"/>
      <c r="N86" s="6"/>
    </row>
    <row r="87" spans="12:14" x14ac:dyDescent="0.2">
      <c r="L87" s="1"/>
      <c r="M87" s="1"/>
      <c r="N87" s="6"/>
    </row>
    <row r="88" spans="12:14" x14ac:dyDescent="0.2">
      <c r="L88" s="1"/>
      <c r="M88" s="1"/>
      <c r="N88" s="6"/>
    </row>
    <row r="89" spans="12:14" x14ac:dyDescent="0.2">
      <c r="L89" s="1"/>
      <c r="M89" s="1"/>
      <c r="N89" s="6"/>
    </row>
    <row r="90" spans="12:14" x14ac:dyDescent="0.2">
      <c r="L90" s="1"/>
      <c r="M90" s="1"/>
      <c r="N90" s="6"/>
    </row>
    <row r="91" spans="12:14" x14ac:dyDescent="0.2">
      <c r="L91" s="1"/>
      <c r="M91" s="1"/>
      <c r="N91" s="6"/>
    </row>
    <row r="92" spans="12:14" x14ac:dyDescent="0.2">
      <c r="L92" s="1"/>
      <c r="M92" s="1"/>
      <c r="N92" s="6"/>
    </row>
    <row r="93" spans="12:14" x14ac:dyDescent="0.2">
      <c r="L93" s="1"/>
      <c r="M93" s="1"/>
      <c r="N93" s="6"/>
    </row>
    <row r="94" spans="12:14" x14ac:dyDescent="0.2">
      <c r="L94" s="1"/>
      <c r="M94" s="1"/>
      <c r="N94" s="6"/>
    </row>
    <row r="95" spans="12:14" x14ac:dyDescent="0.2">
      <c r="L95" s="1"/>
      <c r="M95" s="1"/>
      <c r="N95" s="6"/>
    </row>
    <row r="96" spans="12:14" x14ac:dyDescent="0.2">
      <c r="L96" s="1"/>
      <c r="M96" s="1"/>
      <c r="N96" s="6"/>
    </row>
    <row r="97" spans="12:14" x14ac:dyDescent="0.2">
      <c r="L97" s="1"/>
      <c r="M97" s="1"/>
      <c r="N97" s="6"/>
    </row>
    <row r="98" spans="12:14" x14ac:dyDescent="0.2">
      <c r="L98" s="1"/>
      <c r="M98" s="1"/>
      <c r="N98" s="6"/>
    </row>
    <row r="99" spans="12:14" x14ac:dyDescent="0.2">
      <c r="L99" s="1"/>
      <c r="M99" s="1"/>
      <c r="N99" s="6"/>
    </row>
    <row r="100" spans="12:14" x14ac:dyDescent="0.2">
      <c r="L100" s="1"/>
      <c r="M100" s="1"/>
      <c r="N100" s="6"/>
    </row>
    <row r="101" spans="12:14" x14ac:dyDescent="0.2">
      <c r="L101" s="1"/>
      <c r="M101" s="1"/>
      <c r="N101" s="6"/>
    </row>
    <row r="102" spans="12:14" x14ac:dyDescent="0.2">
      <c r="L102" s="1"/>
      <c r="M102" s="1"/>
      <c r="N102" s="6"/>
    </row>
    <row r="103" spans="12:14" x14ac:dyDescent="0.2">
      <c r="L103" s="1"/>
      <c r="M103" s="1"/>
      <c r="N103" s="6"/>
    </row>
    <row r="104" spans="12:14" x14ac:dyDescent="0.2">
      <c r="L104" s="1"/>
      <c r="M104" s="1"/>
      <c r="N104" s="6"/>
    </row>
  </sheetData>
  <mergeCells count="5">
    <mergeCell ref="P2:Q2"/>
    <mergeCell ref="R2:T2"/>
    <mergeCell ref="A2:I2"/>
    <mergeCell ref="K2:O2"/>
    <mergeCell ref="A1:U1"/>
  </mergeCells>
  <phoneticPr fontId="1" type="noConversion"/>
  <conditionalFormatting sqref="A4:T22">
    <cfRule type="expression" dxfId="1" priority="1" stopIfTrue="1">
      <formula>$C4="5.1. Initial Inventory"</formula>
    </cfRule>
    <cfRule type="expression" dxfId="0" priority="2">
      <formula>$C4="5.2. Identify New Capability Requirements"</formula>
    </cfRule>
  </conditionalFormatting>
  <dataValidations count="1">
    <dataValidation type="list" allowBlank="1" showInputMessage="1" showErrorMessage="1" sqref="N4:N22 S4:S22" xr:uid="{82EFA7AA-31CE-FE48-8307-49B4CA5B9763}">
      <formula1>"Yes, No"</formula1>
    </dataValidation>
  </dataValidations>
  <pageMargins left="0.7" right="0.7" top="0.75" bottom="0.75" header="0.3" footer="0.3"/>
  <pageSetup orientation="portrait" horizontalDpi="0" verticalDpi="0"/>
  <tableParts count="1">
    <tablePart r:id="rId1"/>
  </tableParts>
  <extLst>
    <ext xmlns:x14="http://schemas.microsoft.com/office/spreadsheetml/2009/9/main" uri="{CCE6A557-97BC-4b89-ADB6-D9C93CAAB3DF}">
      <x14:dataValidations xmlns:xm="http://schemas.microsoft.com/office/excel/2006/main" count="8">
        <x14:dataValidation type="list" allowBlank="1" showInputMessage="1" showErrorMessage="1" xr:uid="{89948904-F445-0144-932A-79D756401288}">
          <x14:formula1>
            <xm:f>Lists!$BN$3:$BN$8</xm:f>
          </x14:formula1>
          <xm:sqref>D4:D22</xm:sqref>
        </x14:dataValidation>
        <x14:dataValidation type="list" allowBlank="1" showInputMessage="1" showErrorMessage="1" xr:uid="{F65350EE-9138-BD41-91D5-5C8E861BE8C3}">
          <x14:formula1>
            <xm:f>Lists!$BL$3:$BL$4</xm:f>
          </x14:formula1>
          <xm:sqref>C4:C22</xm:sqref>
        </x14:dataValidation>
        <x14:dataValidation type="list" allowBlank="1" showInputMessage="1" showErrorMessage="1" xr:uid="{82D6D3C2-11B6-BB48-9884-E6391C7F28AC}">
          <x14:formula1>
            <xm:f>Lists!$BQ$3:$BQ$7</xm:f>
          </x14:formula1>
          <xm:sqref>K4:K22</xm:sqref>
        </x14:dataValidation>
        <x14:dataValidation type="list" allowBlank="1" showInputMessage="1" showErrorMessage="1" xr:uid="{40889D07-95AE-1F40-9DF3-3AA13AFE3A7E}">
          <x14:formula1>
            <xm:f>Lists!$BT$3:$BT$8</xm:f>
          </x14:formula1>
          <xm:sqref>L4:L22</xm:sqref>
        </x14:dataValidation>
        <x14:dataValidation type="list" allowBlank="1" showInputMessage="1" showErrorMessage="1" xr:uid="{E055D02C-CEC1-974D-A8D5-F1B8FC78BC51}">
          <x14:formula1>
            <xm:f>Lists!$BW$3:$BW$6</xm:f>
          </x14:formula1>
          <xm:sqref>M4:M22</xm:sqref>
        </x14:dataValidation>
        <x14:dataValidation type="list" allowBlank="1" showInputMessage="1" showErrorMessage="1" xr:uid="{D6BF4B0F-48F6-AC4D-B2AE-D05104681C36}">
          <x14:formula1>
            <xm:f>Lists!$BZ$4:$BZ$6</xm:f>
          </x14:formula1>
          <xm:sqref>O4:O22</xm:sqref>
        </x14:dataValidation>
        <x14:dataValidation type="list" allowBlank="1" showInputMessage="1" showErrorMessage="1" xr:uid="{845C3204-DCF2-9E43-8480-83FB5EF2BC54}">
          <x14:formula1>
            <xm:f>Lists!$CB$3:$CB$6</xm:f>
          </x14:formula1>
          <xm:sqref>P4:P22</xm:sqref>
        </x14:dataValidation>
        <x14:dataValidation type="list" allowBlank="1" showInputMessage="1" showErrorMessage="1" xr:uid="{C9039F6A-CB52-D04F-B835-92550409B59B}">
          <x14:formula1>
            <xm:f>Lists!$AY$3:$AY$5</xm:f>
          </x14:formula1>
          <xm:sqref>G4:G22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99F38-14CF-BF4F-9612-E7DA3B0E3536}">
  <sheetPr>
    <tabColor theme="9" tint="-0.499984740745262"/>
  </sheetPr>
  <dimension ref="A1:R59"/>
  <sheetViews>
    <sheetView workbookViewId="0">
      <selection activeCell="I4" sqref="I4:I11"/>
    </sheetView>
  </sheetViews>
  <sheetFormatPr baseColWidth="10" defaultRowHeight="16" x14ac:dyDescent="0.2"/>
  <cols>
    <col min="1" max="1" width="41.1640625" style="1" customWidth="1"/>
    <col min="2" max="2" width="19.6640625" customWidth="1"/>
    <col min="3" max="4" width="11.6640625" style="1" customWidth="1"/>
    <col min="5" max="5" width="41.1640625" style="1" customWidth="1"/>
    <col min="6" max="6" width="19.6640625" style="1" customWidth="1"/>
    <col min="7" max="7" width="11.6640625" style="2" customWidth="1"/>
    <col min="8" max="8" width="19.6640625" style="1" customWidth="1"/>
    <col min="9" max="9" width="11.6640625" customWidth="1"/>
    <col min="10" max="10" width="21.83203125" style="1" bestFit="1" customWidth="1"/>
    <col min="11" max="11" width="19.6640625" style="1" bestFit="1" customWidth="1"/>
    <col min="12" max="12" width="10.83203125" style="1"/>
    <col min="13" max="13" width="12.83203125" style="52" bestFit="1" customWidth="1"/>
    <col min="14" max="14" width="80.83203125" style="52" bestFit="1" customWidth="1"/>
    <col min="15" max="15" width="10.83203125" style="52"/>
    <col min="16" max="16" width="10.1640625" style="52" bestFit="1" customWidth="1"/>
    <col min="17" max="17" width="94.33203125" style="52" bestFit="1" customWidth="1"/>
    <col min="18" max="18" width="10.83203125" style="52"/>
    <col min="19" max="16384" width="10.83203125" style="1"/>
  </cols>
  <sheetData>
    <row r="1" spans="1:18" ht="17" x14ac:dyDescent="0.25">
      <c r="A1" s="533" t="s">
        <v>2272</v>
      </c>
      <c r="B1" s="533"/>
      <c r="C1" s="533"/>
      <c r="D1" s="533"/>
      <c r="E1" s="533"/>
      <c r="F1" s="533"/>
      <c r="G1" s="533"/>
      <c r="H1" s="533"/>
      <c r="I1" s="533"/>
    </row>
    <row r="2" spans="1:18" ht="17" x14ac:dyDescent="0.25">
      <c r="A2" s="532" t="s">
        <v>2271</v>
      </c>
      <c r="B2" s="532"/>
      <c r="C2" s="532"/>
      <c r="D2" s="532"/>
      <c r="E2" s="532"/>
      <c r="F2" s="532"/>
      <c r="G2" s="532"/>
      <c r="H2" s="532"/>
      <c r="I2" s="532"/>
      <c r="J2" s="188"/>
      <c r="K2" s="202"/>
      <c r="L2" s="52"/>
      <c r="Q2" s="1"/>
      <c r="R2" s="1"/>
    </row>
    <row r="3" spans="1:18" s="3" customFormat="1" ht="17" x14ac:dyDescent="0.2">
      <c r="A3" s="203" t="s">
        <v>61</v>
      </c>
      <c r="B3" s="205" t="s">
        <v>280</v>
      </c>
      <c r="C3" s="205" t="s">
        <v>278</v>
      </c>
      <c r="D3" s="206" t="s">
        <v>279</v>
      </c>
      <c r="E3" s="205" t="s">
        <v>1701</v>
      </c>
      <c r="F3" s="205" t="s">
        <v>302</v>
      </c>
      <c r="G3" s="205" t="s">
        <v>322</v>
      </c>
      <c r="H3" s="204" t="s">
        <v>313</v>
      </c>
      <c r="I3" s="206" t="s">
        <v>1702</v>
      </c>
      <c r="J3" s="189"/>
      <c r="K3" s="189"/>
      <c r="P3" s="52"/>
    </row>
    <row r="4" spans="1:18" ht="17" x14ac:dyDescent="0.25">
      <c r="A4" s="280" t="s">
        <v>1554</v>
      </c>
      <c r="B4" s="282" t="str">
        <f>_xlfn.XLOOKUP(IPL[[#This Row],[Capability Name]],CBA[Capability Name],CBA[Production Stage])</f>
        <v>Unprogrammed</v>
      </c>
      <c r="C4" s="283">
        <f>_xlfn.XLOOKUP(IPL[[#This Row],[Capability Name]],CBA[Capability Name],CBA[IOC Expected Date])</f>
        <v>47483</v>
      </c>
      <c r="D4" s="283">
        <f>_xlfn.XLOOKUP(IPL[[#This Row],[Capability Name]],CBA[Capability Name],CBA[FOC Expected Date])</f>
        <v>48579</v>
      </c>
      <c r="E4" s="281" t="str">
        <f>_xlfn.XLOOKUP(IPL[[#This Row],[Capability Name]],CBA[Capability Name],CBA[Objectives Supported])</f>
        <v>Deploy Climate-Adapted Vehicle</v>
      </c>
      <c r="F4" s="281" t="str">
        <f>_xlfn.XLOOKUP(IPL[[#This Row],[Capability Name]],CBA[Capability Name],CBA[Gap Characterization])</f>
        <v>Lack of Field Capability</v>
      </c>
      <c r="G4" s="282" t="str">
        <f>_xlfn.XLOOKUP(IPL[[#This Row],[Capability Name]],CBA[Capability Name],CBA[CRA])</f>
        <v>CRA-1</v>
      </c>
      <c r="H4" s="142" t="str">
        <f>_xlfn.XLOOKUP(IPL[[#This Row],[Capability Name]],CBA[Capability Name],CBA[Capability Solution])</f>
        <v>Material</v>
      </c>
      <c r="I4" s="284">
        <f>_xlfn.XLOOKUP(IPL[[#This Row],[Capability Name]],CBA[Capability Name],CBA[Estimated Cost])</f>
        <v>62500000</v>
      </c>
      <c r="J4" s="188"/>
      <c r="K4" s="202"/>
      <c r="L4" s="52"/>
      <c r="Q4" s="1"/>
      <c r="R4" s="1"/>
    </row>
    <row r="5" spans="1:18" ht="32" x14ac:dyDescent="0.25">
      <c r="A5" s="280" t="s">
        <v>1561</v>
      </c>
      <c r="B5" s="282" t="str">
        <f>_xlfn.XLOOKUP(IPL[[#This Row],[Capability Name]],CBA[Capability Name],CBA[Production Stage])</f>
        <v>Unprogrammed</v>
      </c>
      <c r="C5" s="283">
        <f>_xlfn.XLOOKUP(IPL[[#This Row],[Capability Name]],CBA[Capability Name],CBA[IOC Expected Date])</f>
        <v>46388</v>
      </c>
      <c r="D5" s="283">
        <f>_xlfn.XLOOKUP(IPL[[#This Row],[Capability Name]],CBA[Capability Name],CBA[FOC Expected Date])</f>
        <v>47026</v>
      </c>
      <c r="E5" s="281" t="str">
        <f>_xlfn.XLOOKUP(IPL[[#This Row],[Capability Name]],CBA[Capability Name],CBA[Objectives Supported])</f>
        <v>Establish Southeast Asian Division, Build Partnership Network</v>
      </c>
      <c r="F5" s="281" t="str">
        <f>_xlfn.XLOOKUP(IPL[[#This Row],[Capability Name]],CBA[Capability Name],CBA[Gap Characterization])</f>
        <v>Lack of Field Capability</v>
      </c>
      <c r="G5" s="282" t="str">
        <f>_xlfn.XLOOKUP(IPL[[#This Row],[Capability Name]],CBA[Capability Name],CBA[CRA])</f>
        <v>CRA-1</v>
      </c>
      <c r="H5" s="142" t="str">
        <f>_xlfn.XLOOKUP(IPL[[#This Row],[Capability Name]],CBA[Capability Name],CBA[Capability Solution])</f>
        <v>Material</v>
      </c>
      <c r="I5" s="284">
        <f>_xlfn.XLOOKUP(IPL[[#This Row],[Capability Name]],CBA[Capability Name],CBA[Estimated Cost])</f>
        <v>7000000</v>
      </c>
      <c r="J5" s="188"/>
      <c r="K5" s="202"/>
      <c r="L5" s="52"/>
      <c r="Q5" s="1"/>
      <c r="R5" s="1"/>
    </row>
    <row r="6" spans="1:18" ht="32" x14ac:dyDescent="0.25">
      <c r="A6" s="280" t="s">
        <v>1293</v>
      </c>
      <c r="B6" s="282" t="str">
        <f>_xlfn.XLOOKUP(IPL[[#This Row],[Capability Name]],CBA[Capability Name],CBA[Production Stage])</f>
        <v>Unprogrammed</v>
      </c>
      <c r="C6" s="283">
        <f>_xlfn.XLOOKUP(IPL[[#This Row],[Capability Name]],CBA[Capability Name],CBA[IOC Expected Date])</f>
        <v>46813</v>
      </c>
      <c r="D6" s="283">
        <f>_xlfn.XLOOKUP(IPL[[#This Row],[Capability Name]],CBA[Capability Name],CBA[FOC Expected Date])</f>
        <v>47483</v>
      </c>
      <c r="E6" s="281" t="str">
        <f>_xlfn.XLOOKUP(IPL[[#This Row],[Capability Name]],CBA[Capability Name],CBA[Objectives Supported])</f>
        <v>Establish Export Compliance Office, Secure Favorable Regulatory Environment</v>
      </c>
      <c r="F6" s="281" t="str">
        <f>_xlfn.XLOOKUP(IPL[[#This Row],[Capability Name]],CBA[Capability Name],CBA[Gap Characterization])</f>
        <v>Lack of Proficiency</v>
      </c>
      <c r="G6" s="282" t="str">
        <f>_xlfn.XLOOKUP(IPL[[#This Row],[Capability Name]],CBA[Capability Name],CBA[CRA])</f>
        <v>CRA-1</v>
      </c>
      <c r="H6" s="142" t="str">
        <f>_xlfn.XLOOKUP(IPL[[#This Row],[Capability Name]],CBA[Capability Name],CBA[Capability Solution])</f>
        <v>Non-Material</v>
      </c>
      <c r="I6" s="284">
        <f>_xlfn.XLOOKUP(IPL[[#This Row],[Capability Name]],CBA[Capability Name],CBA[Estimated Cost])</f>
        <v>2500000</v>
      </c>
      <c r="J6" s="188"/>
      <c r="K6" s="202"/>
      <c r="L6" s="52"/>
      <c r="Q6" s="1"/>
      <c r="R6" s="1"/>
    </row>
    <row r="7" spans="1:18" ht="17" x14ac:dyDescent="0.25">
      <c r="A7" s="280" t="s">
        <v>1556</v>
      </c>
      <c r="B7" s="282" t="str">
        <f>_xlfn.XLOOKUP(IPL[[#This Row],[Capability Name]],CBA[Capability Name],CBA[Production Stage])</f>
        <v>Unprogrammed</v>
      </c>
      <c r="C7" s="283">
        <f>_xlfn.XLOOKUP(IPL[[#This Row],[Capability Name]],CBA[Capability Name],CBA[IOC Expected Date])</f>
        <v>46752</v>
      </c>
      <c r="D7" s="283">
        <f>_xlfn.XLOOKUP(IPL[[#This Row],[Capability Name]],CBA[Capability Name],CBA[FOC Expected Date])</f>
        <v>47118</v>
      </c>
      <c r="E7" s="281" t="str">
        <f>_xlfn.XLOOKUP(IPL[[#This Row],[Capability Name]],CBA[Capability Name],CBA[Objectives Supported])</f>
        <v>Build Partnership Network</v>
      </c>
      <c r="F7" s="281" t="str">
        <f>_xlfn.XLOOKUP(IPL[[#This Row],[Capability Name]],CBA[Capability Name],CBA[Gap Characterization])</f>
        <v>Lack of Field Capability</v>
      </c>
      <c r="G7" s="282" t="str">
        <f>_xlfn.XLOOKUP(IPL[[#This Row],[Capability Name]],CBA[Capability Name],CBA[CRA])</f>
        <v>CRA-2</v>
      </c>
      <c r="H7" s="142" t="str">
        <f>_xlfn.XLOOKUP(IPL[[#This Row],[Capability Name]],CBA[Capability Name],CBA[Capability Solution])</f>
        <v>Material</v>
      </c>
      <c r="I7" s="284">
        <f>_xlfn.XLOOKUP(IPL[[#This Row],[Capability Name]],CBA[Capability Name],CBA[Estimated Cost])</f>
        <v>20000000</v>
      </c>
      <c r="J7" s="188"/>
      <c r="K7" s="202"/>
      <c r="L7" s="52"/>
      <c r="Q7" s="1"/>
      <c r="R7" s="1"/>
    </row>
    <row r="8" spans="1:18" ht="17" x14ac:dyDescent="0.25">
      <c r="A8" s="280" t="s">
        <v>1367</v>
      </c>
      <c r="B8" s="282" t="str">
        <f>_xlfn.XLOOKUP(IPL[[#This Row],[Capability Name]],CBA[Capability Name],CBA[Production Stage])</f>
        <v>Unprogrammed</v>
      </c>
      <c r="C8" s="283">
        <f>_xlfn.XLOOKUP(IPL[[#This Row],[Capability Name]],CBA[Capability Name],CBA[IOC Expected Date])</f>
        <v>47574</v>
      </c>
      <c r="D8" s="283">
        <f>_xlfn.XLOOKUP(IPL[[#This Row],[Capability Name]],CBA[Capability Name],CBA[FOC Expected Date])</f>
        <v>48579</v>
      </c>
      <c r="E8" s="281" t="str">
        <f>_xlfn.XLOOKUP(IPL[[#This Row],[Capability Name]],CBA[Capability Name],CBA[Objectives Supported])</f>
        <v>Automate Production Systems</v>
      </c>
      <c r="F8" s="281" t="str">
        <f>_xlfn.XLOOKUP(IPL[[#This Row],[Capability Name]],CBA[Capability Name],CBA[Gap Characterization])</f>
        <v>Lack of Sufficiency</v>
      </c>
      <c r="G8" s="282" t="str">
        <f>_xlfn.XLOOKUP(IPL[[#This Row],[Capability Name]],CBA[Capability Name],CBA[CRA])</f>
        <v>CRA-1</v>
      </c>
      <c r="H8" s="142" t="str">
        <f>_xlfn.XLOOKUP(IPL[[#This Row],[Capability Name]],CBA[Capability Name],CBA[Capability Solution])</f>
        <v>Non-Material</v>
      </c>
      <c r="I8" s="284">
        <f>_xlfn.XLOOKUP(IPL[[#This Row],[Capability Name]],CBA[Capability Name],CBA[Estimated Cost])</f>
        <v>178000000</v>
      </c>
      <c r="J8" s="188"/>
      <c r="K8" s="202"/>
      <c r="L8" s="52"/>
      <c r="Q8" s="1"/>
      <c r="R8" s="1"/>
    </row>
    <row r="9" spans="1:18" ht="17" x14ac:dyDescent="0.25">
      <c r="A9" s="280" t="s">
        <v>1559</v>
      </c>
      <c r="B9" s="282" t="str">
        <f>_xlfn.XLOOKUP(IPL[[#This Row],[Capability Name]],CBA[Capability Name],CBA[Production Stage])</f>
        <v>Unprogrammed</v>
      </c>
      <c r="C9" s="283">
        <f>_xlfn.XLOOKUP(IPL[[#This Row],[Capability Name]],CBA[Capability Name],CBA[IOC Expected Date])</f>
        <v>46813</v>
      </c>
      <c r="D9" s="283">
        <f>_xlfn.XLOOKUP(IPL[[#This Row],[Capability Name]],CBA[Capability Name],CBA[FOC Expected Date])</f>
        <v>47299</v>
      </c>
      <c r="E9" s="281" t="str">
        <f>_xlfn.XLOOKUP(IPL[[#This Row],[Capability Name]],CBA[Capability Name],CBA[Objectives Supported])</f>
        <v>U.S. DoD Dominance Retention</v>
      </c>
      <c r="F9" s="281" t="str">
        <f>_xlfn.XLOOKUP(IPL[[#This Row],[Capability Name]],CBA[Capability Name],CBA[Gap Characterization])</f>
        <v>Lack of Field Capability</v>
      </c>
      <c r="G9" s="282" t="str">
        <f>_xlfn.XLOOKUP(IPL[[#This Row],[Capability Name]],CBA[Capability Name],CBA[CRA])</f>
        <v>CRA-1</v>
      </c>
      <c r="H9" s="142" t="str">
        <f>_xlfn.XLOOKUP(IPL[[#This Row],[Capability Name]],CBA[Capability Name],CBA[Capability Solution])</f>
        <v>Material</v>
      </c>
      <c r="I9" s="284">
        <f>_xlfn.XLOOKUP(IPL[[#This Row],[Capability Name]],CBA[Capability Name],CBA[Estimated Cost])</f>
        <v>12500000</v>
      </c>
      <c r="J9" s="188"/>
      <c r="K9" s="202"/>
      <c r="L9" s="52"/>
      <c r="Q9" s="1"/>
      <c r="R9" s="1"/>
    </row>
    <row r="10" spans="1:18" ht="17" x14ac:dyDescent="0.25">
      <c r="A10" s="188"/>
      <c r="B10" s="1"/>
      <c r="C10" s="188"/>
      <c r="D10" s="188"/>
      <c r="E10" s="188"/>
      <c r="F10" s="188"/>
      <c r="G10" s="187"/>
      <c r="H10" s="188"/>
      <c r="I10" s="1"/>
      <c r="J10" s="188"/>
      <c r="K10" s="188"/>
      <c r="L10" s="188"/>
      <c r="M10" s="202"/>
    </row>
    <row r="11" spans="1:18" ht="17" x14ac:dyDescent="0.25">
      <c r="A11" s="188"/>
      <c r="B11" s="1"/>
      <c r="C11" s="188"/>
      <c r="D11" s="188"/>
      <c r="E11" s="188"/>
      <c r="F11" s="188"/>
      <c r="G11" s="187"/>
      <c r="H11" s="188"/>
      <c r="I11" s="1"/>
      <c r="J11" s="188"/>
      <c r="K11" s="188"/>
      <c r="L11" s="188"/>
      <c r="M11" s="202"/>
    </row>
    <row r="12" spans="1:18" ht="17" x14ac:dyDescent="0.25">
      <c r="A12" s="188"/>
      <c r="B12" s="1"/>
      <c r="C12" s="188"/>
      <c r="D12" s="188"/>
      <c r="E12" s="188"/>
      <c r="F12" s="188"/>
      <c r="G12" s="187"/>
      <c r="H12" s="188"/>
      <c r="I12" s="1"/>
      <c r="J12" s="188"/>
      <c r="K12" s="188"/>
      <c r="L12" s="188"/>
      <c r="M12" s="202"/>
    </row>
    <row r="13" spans="1:18" ht="17" x14ac:dyDescent="0.25">
      <c r="A13" s="188"/>
      <c r="B13" s="1"/>
      <c r="C13" s="188"/>
      <c r="D13" s="188"/>
      <c r="E13" s="188"/>
      <c r="F13" s="188"/>
      <c r="G13" s="187"/>
      <c r="H13" s="188"/>
      <c r="I13" s="1"/>
      <c r="J13" s="188"/>
      <c r="K13" s="188"/>
      <c r="L13" s="188"/>
      <c r="M13" s="202"/>
    </row>
    <row r="14" spans="1:18" ht="17" x14ac:dyDescent="0.25">
      <c r="A14" s="188"/>
      <c r="B14" s="1"/>
      <c r="C14" s="188"/>
      <c r="D14" s="188"/>
      <c r="E14" s="188"/>
      <c r="F14" s="188"/>
      <c r="G14" s="187"/>
      <c r="H14" s="188"/>
      <c r="I14" s="1"/>
      <c r="J14" s="188"/>
      <c r="K14" s="188"/>
      <c r="L14" s="188"/>
      <c r="M14" s="202"/>
    </row>
    <row r="15" spans="1:18" ht="17" x14ac:dyDescent="0.25">
      <c r="A15" s="188"/>
      <c r="B15" s="1"/>
      <c r="C15" s="188"/>
      <c r="D15" s="188"/>
      <c r="E15" s="188"/>
      <c r="F15" s="188"/>
      <c r="G15" s="187"/>
      <c r="H15" s="188"/>
      <c r="I15" s="1"/>
      <c r="J15" s="188"/>
      <c r="K15" s="188"/>
      <c r="L15" s="188"/>
      <c r="M15" s="202"/>
    </row>
    <row r="16" spans="1:18" ht="17" x14ac:dyDescent="0.25">
      <c r="A16" s="188"/>
      <c r="B16" s="1"/>
      <c r="C16" s="188"/>
      <c r="D16" s="188"/>
      <c r="E16" s="188"/>
      <c r="F16" s="188"/>
      <c r="G16" s="187"/>
      <c r="H16" s="188"/>
      <c r="I16" s="1"/>
      <c r="J16" s="188"/>
      <c r="K16" s="188"/>
      <c r="L16" s="188"/>
      <c r="M16" s="202"/>
    </row>
    <row r="17" spans="1:13" ht="17" x14ac:dyDescent="0.25">
      <c r="A17" s="188"/>
      <c r="B17" s="1"/>
      <c r="C17" s="188"/>
      <c r="D17" s="188"/>
      <c r="E17" s="188"/>
      <c r="F17" s="188"/>
      <c r="G17" s="187"/>
      <c r="H17" s="188"/>
      <c r="I17" s="1"/>
      <c r="J17" s="188"/>
      <c r="K17" s="188"/>
      <c r="L17" s="188"/>
      <c r="M17" s="202"/>
    </row>
    <row r="18" spans="1:13" ht="17" x14ac:dyDescent="0.25">
      <c r="A18" s="188"/>
      <c r="B18" s="1"/>
      <c r="C18" s="188"/>
      <c r="D18" s="188"/>
      <c r="E18" s="188"/>
      <c r="F18" s="188"/>
      <c r="G18" s="187"/>
      <c r="H18" s="188"/>
      <c r="I18" s="1"/>
      <c r="J18" s="188"/>
      <c r="K18" s="188"/>
      <c r="L18" s="188"/>
      <c r="M18" s="202"/>
    </row>
    <row r="19" spans="1:13" ht="17" x14ac:dyDescent="0.25">
      <c r="A19" s="188"/>
      <c r="B19" s="1"/>
      <c r="C19" s="188"/>
      <c r="D19" s="188"/>
      <c r="E19" s="188"/>
      <c r="F19" s="188"/>
      <c r="G19" s="187"/>
      <c r="H19" s="188"/>
      <c r="I19" s="1"/>
      <c r="J19" s="188"/>
      <c r="K19" s="119"/>
      <c r="L19" s="188"/>
      <c r="M19" s="202"/>
    </row>
    <row r="20" spans="1:13" ht="17" x14ac:dyDescent="0.25">
      <c r="A20" s="188"/>
      <c r="B20" s="1"/>
      <c r="C20" s="188"/>
      <c r="D20" s="188"/>
      <c r="E20" s="188"/>
      <c r="F20" s="188"/>
      <c r="G20" s="187"/>
      <c r="H20" s="188"/>
      <c r="I20" s="1"/>
      <c r="J20" s="188"/>
      <c r="K20" s="188"/>
      <c r="L20" s="188"/>
      <c r="M20" s="202"/>
    </row>
    <row r="21" spans="1:13" ht="17" x14ac:dyDescent="0.25">
      <c r="A21" s="188"/>
      <c r="B21" s="1"/>
      <c r="C21" s="188"/>
      <c r="D21" s="188"/>
      <c r="E21" s="188"/>
      <c r="F21" s="188"/>
      <c r="G21" s="187"/>
      <c r="H21" s="188"/>
      <c r="I21" s="1"/>
      <c r="J21" s="188"/>
      <c r="K21" s="188"/>
      <c r="L21" s="188"/>
      <c r="M21" s="202"/>
    </row>
    <row r="22" spans="1:13" ht="17" x14ac:dyDescent="0.25">
      <c r="A22" s="188"/>
      <c r="B22" s="1"/>
      <c r="C22" s="188"/>
      <c r="D22" s="188"/>
      <c r="E22" s="188"/>
      <c r="F22" s="188"/>
      <c r="G22" s="187"/>
      <c r="H22" s="188"/>
      <c r="I22" s="1"/>
      <c r="J22" s="188"/>
      <c r="K22" s="188"/>
      <c r="L22" s="188"/>
      <c r="M22" s="202"/>
    </row>
    <row r="23" spans="1:13" ht="17" x14ac:dyDescent="0.25">
      <c r="A23" s="188"/>
      <c r="B23" s="1"/>
      <c r="C23" s="188"/>
      <c r="D23" s="188"/>
      <c r="E23" s="188"/>
      <c r="F23" s="188"/>
      <c r="G23" s="187"/>
      <c r="H23" s="188"/>
      <c r="I23" s="1"/>
      <c r="J23" s="188"/>
      <c r="K23" s="188"/>
      <c r="L23" s="188"/>
      <c r="M23" s="202"/>
    </row>
    <row r="24" spans="1:13" ht="17" x14ac:dyDescent="0.25">
      <c r="A24" s="188"/>
      <c r="B24" s="1"/>
      <c r="C24" s="188"/>
      <c r="D24" s="188"/>
      <c r="E24" s="188"/>
      <c r="F24" s="188"/>
      <c r="G24" s="187"/>
      <c r="H24" s="188"/>
      <c r="I24" s="1"/>
      <c r="J24" s="188"/>
      <c r="K24" s="188"/>
      <c r="L24" s="188"/>
      <c r="M24" s="202"/>
    </row>
    <row r="25" spans="1:13" ht="17" x14ac:dyDescent="0.25">
      <c r="A25" s="188"/>
      <c r="B25" s="1"/>
      <c r="C25" s="188"/>
      <c r="D25" s="188"/>
      <c r="E25" s="188"/>
      <c r="F25" s="188"/>
      <c r="G25" s="187"/>
      <c r="H25" s="188"/>
      <c r="I25" s="1"/>
      <c r="J25" s="188"/>
      <c r="K25" s="188"/>
      <c r="L25" s="188"/>
      <c r="M25" s="202"/>
    </row>
    <row r="26" spans="1:13" ht="17" x14ac:dyDescent="0.25">
      <c r="A26" s="188"/>
      <c r="B26" s="1"/>
      <c r="C26" s="188"/>
      <c r="D26" s="188"/>
      <c r="E26" s="188"/>
      <c r="F26" s="188"/>
      <c r="G26" s="187"/>
      <c r="H26" s="188"/>
      <c r="I26" s="1"/>
      <c r="J26" s="188"/>
      <c r="K26" s="188"/>
      <c r="L26" s="188"/>
      <c r="M26" s="202"/>
    </row>
    <row r="27" spans="1:13" ht="17" x14ac:dyDescent="0.25">
      <c r="A27" s="188"/>
      <c r="B27" s="1"/>
      <c r="C27" s="188"/>
      <c r="D27" s="188"/>
      <c r="E27" s="188"/>
      <c r="F27" s="188"/>
      <c r="G27" s="187"/>
      <c r="H27" s="188"/>
      <c r="I27" s="1"/>
      <c r="J27" s="188"/>
      <c r="K27" s="188"/>
      <c r="L27" s="188"/>
      <c r="M27" s="202"/>
    </row>
    <row r="28" spans="1:13" ht="17" x14ac:dyDescent="0.25">
      <c r="A28" s="188"/>
      <c r="B28" s="1"/>
      <c r="C28" s="188"/>
      <c r="D28" s="188"/>
      <c r="E28" s="188"/>
      <c r="F28" s="188"/>
      <c r="G28" s="187"/>
      <c r="H28" s="188"/>
      <c r="I28" s="1"/>
      <c r="J28" s="188"/>
      <c r="K28" s="188"/>
      <c r="L28" s="188"/>
      <c r="M28" s="202"/>
    </row>
    <row r="29" spans="1:13" ht="17" x14ac:dyDescent="0.25">
      <c r="A29" s="188"/>
      <c r="B29" s="1"/>
      <c r="C29" s="188"/>
      <c r="D29" s="188"/>
      <c r="E29" s="188"/>
      <c r="F29" s="188"/>
      <c r="G29" s="187"/>
      <c r="H29" s="188"/>
      <c r="I29" s="1"/>
      <c r="J29" s="188"/>
      <c r="K29" s="188"/>
      <c r="L29" s="188"/>
      <c r="M29" s="202"/>
    </row>
    <row r="30" spans="1:13" ht="17" x14ac:dyDescent="0.25">
      <c r="A30" s="188"/>
      <c r="B30" s="1"/>
      <c r="C30" s="188"/>
      <c r="D30" s="188"/>
      <c r="E30" s="188"/>
      <c r="F30" s="188"/>
      <c r="G30" s="187"/>
      <c r="H30" s="188"/>
      <c r="I30" s="1"/>
      <c r="J30" s="188"/>
      <c r="K30" s="188"/>
      <c r="L30" s="188"/>
      <c r="M30" s="202"/>
    </row>
    <row r="31" spans="1:13" ht="17" x14ac:dyDescent="0.25">
      <c r="A31" s="188"/>
      <c r="B31" s="1"/>
      <c r="C31" s="188"/>
      <c r="D31" s="188"/>
      <c r="E31" s="188"/>
      <c r="F31" s="188"/>
      <c r="G31" s="187"/>
      <c r="H31" s="188"/>
      <c r="I31" s="1"/>
      <c r="J31" s="188"/>
      <c r="K31" s="188"/>
      <c r="L31" s="188"/>
      <c r="M31" s="202"/>
    </row>
    <row r="32" spans="1:13" ht="17" x14ac:dyDescent="0.25">
      <c r="A32" s="188"/>
      <c r="B32" s="1"/>
      <c r="C32" s="188"/>
      <c r="D32" s="188"/>
      <c r="E32" s="188"/>
      <c r="F32" s="188"/>
      <c r="G32" s="187"/>
      <c r="H32" s="188"/>
      <c r="I32" s="1"/>
      <c r="J32" s="188"/>
      <c r="K32" s="188"/>
      <c r="L32" s="188"/>
      <c r="M32" s="202"/>
    </row>
    <row r="33" spans="1:13" ht="17" x14ac:dyDescent="0.25">
      <c r="A33" s="188"/>
      <c r="B33" s="1"/>
      <c r="C33" s="188"/>
      <c r="D33" s="188"/>
      <c r="E33" s="188"/>
      <c r="F33" s="188"/>
      <c r="G33" s="187"/>
      <c r="H33" s="188"/>
      <c r="I33" s="1"/>
      <c r="J33" s="188"/>
      <c r="K33" s="188"/>
      <c r="L33" s="188"/>
      <c r="M33" s="202"/>
    </row>
    <row r="34" spans="1:13" ht="17" x14ac:dyDescent="0.25">
      <c r="A34" s="188"/>
      <c r="B34" s="1"/>
      <c r="C34" s="188"/>
      <c r="D34" s="188"/>
      <c r="E34" s="188"/>
      <c r="F34" s="188"/>
      <c r="G34" s="187"/>
      <c r="H34" s="188"/>
      <c r="I34" s="1"/>
      <c r="J34" s="188"/>
      <c r="K34" s="188"/>
      <c r="L34" s="188"/>
      <c r="M34" s="202"/>
    </row>
    <row r="35" spans="1:13" ht="17" x14ac:dyDescent="0.25">
      <c r="A35" s="188"/>
      <c r="B35" s="1"/>
      <c r="C35" s="188"/>
      <c r="D35" s="188"/>
      <c r="E35" s="188"/>
      <c r="F35" s="188"/>
      <c r="G35" s="187"/>
      <c r="H35" s="188"/>
      <c r="I35" s="1"/>
      <c r="J35" s="188"/>
      <c r="K35" s="188"/>
      <c r="L35" s="188"/>
      <c r="M35" s="202"/>
    </row>
    <row r="36" spans="1:13" ht="17" x14ac:dyDescent="0.25">
      <c r="A36" s="188"/>
      <c r="B36" s="1"/>
      <c r="C36" s="188"/>
      <c r="D36" s="188"/>
      <c r="E36" s="188"/>
      <c r="F36" s="188"/>
      <c r="G36" s="187"/>
      <c r="H36" s="188"/>
      <c r="I36" s="1"/>
      <c r="J36" s="188"/>
      <c r="K36" s="188"/>
      <c r="L36" s="188"/>
      <c r="M36" s="202"/>
    </row>
    <row r="37" spans="1:13" ht="17" x14ac:dyDescent="0.25">
      <c r="A37" s="188"/>
      <c r="B37" s="1"/>
      <c r="C37" s="188"/>
      <c r="D37" s="188"/>
      <c r="E37" s="188"/>
      <c r="F37" s="188"/>
      <c r="G37" s="187"/>
      <c r="H37" s="188"/>
      <c r="I37" s="1"/>
      <c r="J37" s="188"/>
      <c r="K37" s="188"/>
      <c r="L37" s="188"/>
      <c r="M37" s="202"/>
    </row>
    <row r="38" spans="1:13" ht="17" x14ac:dyDescent="0.25">
      <c r="A38" s="188"/>
      <c r="B38" s="1"/>
      <c r="C38" s="188"/>
      <c r="D38" s="188"/>
      <c r="E38" s="188"/>
      <c r="F38" s="188"/>
      <c r="G38" s="187"/>
      <c r="H38" s="188"/>
      <c r="I38" s="1"/>
      <c r="J38" s="188"/>
      <c r="K38" s="188"/>
      <c r="L38" s="188"/>
      <c r="M38" s="202"/>
    </row>
    <row r="39" spans="1:13" ht="17" x14ac:dyDescent="0.25">
      <c r="A39" s="188"/>
      <c r="B39" s="1"/>
      <c r="C39" s="188"/>
      <c r="D39" s="188"/>
      <c r="E39" s="188"/>
      <c r="F39" s="188"/>
      <c r="G39" s="187"/>
      <c r="H39" s="188"/>
      <c r="I39" s="1"/>
      <c r="J39" s="188"/>
      <c r="K39" s="188"/>
      <c r="L39" s="188"/>
      <c r="M39" s="202"/>
    </row>
    <row r="40" spans="1:13" ht="17" x14ac:dyDescent="0.25">
      <c r="A40" s="188"/>
      <c r="B40" s="1"/>
      <c r="C40" s="188"/>
      <c r="D40" s="188"/>
      <c r="E40" s="188"/>
      <c r="F40" s="188"/>
      <c r="G40" s="187"/>
      <c r="H40" s="188"/>
      <c r="I40" s="1"/>
      <c r="J40" s="188"/>
      <c r="K40" s="188"/>
      <c r="L40" s="188"/>
      <c r="M40" s="202"/>
    </row>
    <row r="41" spans="1:13" ht="17" x14ac:dyDescent="0.25">
      <c r="A41" s="188"/>
      <c r="B41" s="1"/>
      <c r="C41" s="188"/>
      <c r="D41" s="188"/>
      <c r="E41" s="188"/>
      <c r="F41" s="188"/>
      <c r="G41" s="187"/>
      <c r="H41" s="188"/>
      <c r="I41" s="1"/>
      <c r="J41" s="188"/>
      <c r="K41" s="188"/>
      <c r="L41" s="188"/>
      <c r="M41" s="202"/>
    </row>
    <row r="42" spans="1:13" ht="17" x14ac:dyDescent="0.25">
      <c r="A42" s="188"/>
      <c r="B42" s="1"/>
      <c r="C42" s="188"/>
      <c r="D42" s="188"/>
      <c r="E42" s="188"/>
      <c r="F42" s="188"/>
      <c r="G42" s="187"/>
      <c r="H42" s="188"/>
      <c r="I42" s="1"/>
      <c r="J42" s="188"/>
      <c r="K42" s="188"/>
      <c r="L42" s="188"/>
      <c r="M42" s="202"/>
    </row>
    <row r="43" spans="1:13" ht="17" x14ac:dyDescent="0.25">
      <c r="A43" s="188"/>
      <c r="B43" s="1"/>
      <c r="C43" s="188"/>
      <c r="D43" s="188"/>
      <c r="E43" s="188"/>
      <c r="F43" s="188"/>
      <c r="G43" s="187"/>
      <c r="H43" s="188"/>
      <c r="I43" s="1"/>
      <c r="J43" s="188"/>
      <c r="K43" s="188"/>
      <c r="L43" s="188"/>
      <c r="M43" s="202"/>
    </row>
    <row r="44" spans="1:13" ht="17" x14ac:dyDescent="0.25">
      <c r="A44" s="188"/>
      <c r="B44" s="1"/>
      <c r="C44" s="188"/>
      <c r="D44" s="188"/>
      <c r="E44" s="188"/>
      <c r="F44" s="188"/>
      <c r="G44" s="187"/>
      <c r="H44" s="188"/>
      <c r="I44" s="1"/>
      <c r="J44" s="188"/>
      <c r="K44" s="188"/>
      <c r="L44" s="188"/>
      <c r="M44" s="202"/>
    </row>
    <row r="45" spans="1:13" ht="17" x14ac:dyDescent="0.25">
      <c r="A45" s="188"/>
      <c r="B45" s="1"/>
      <c r="C45" s="188"/>
      <c r="D45" s="188"/>
      <c r="E45" s="188"/>
      <c r="F45" s="188"/>
      <c r="G45" s="187"/>
      <c r="H45" s="188"/>
      <c r="I45" s="1"/>
      <c r="J45" s="188"/>
      <c r="K45" s="188"/>
      <c r="L45" s="188"/>
      <c r="M45" s="202"/>
    </row>
    <row r="46" spans="1:13" ht="17" x14ac:dyDescent="0.25">
      <c r="A46" s="188"/>
      <c r="B46" s="1"/>
      <c r="C46" s="188"/>
      <c r="D46" s="188"/>
      <c r="E46" s="188"/>
      <c r="F46" s="188"/>
      <c r="G46" s="187"/>
      <c r="H46" s="188"/>
      <c r="I46" s="1"/>
      <c r="J46" s="188"/>
      <c r="K46" s="188"/>
      <c r="L46" s="188"/>
      <c r="M46" s="202"/>
    </row>
    <row r="47" spans="1:13" ht="17" x14ac:dyDescent="0.25">
      <c r="A47" s="188"/>
      <c r="B47" s="1"/>
      <c r="C47" s="188"/>
      <c r="D47" s="188"/>
      <c r="E47" s="188"/>
      <c r="F47" s="188"/>
      <c r="G47" s="187"/>
      <c r="H47" s="188"/>
      <c r="I47" s="1"/>
      <c r="J47" s="188"/>
      <c r="K47" s="188"/>
      <c r="L47" s="188"/>
      <c r="M47" s="202"/>
    </row>
    <row r="48" spans="1:13" ht="17" x14ac:dyDescent="0.25">
      <c r="A48" s="188"/>
      <c r="B48" s="1"/>
      <c r="C48" s="188"/>
      <c r="D48" s="188"/>
      <c r="E48" s="188"/>
      <c r="F48" s="188"/>
      <c r="G48" s="187"/>
      <c r="H48" s="188"/>
      <c r="I48" s="1"/>
      <c r="J48" s="188"/>
      <c r="K48" s="188"/>
      <c r="L48" s="188"/>
      <c r="M48" s="202"/>
    </row>
    <row r="49" spans="1:13" ht="17" x14ac:dyDescent="0.25">
      <c r="A49" s="188"/>
      <c r="B49" s="1"/>
      <c r="C49" s="188"/>
      <c r="D49" s="188"/>
      <c r="E49" s="188"/>
      <c r="F49" s="188"/>
      <c r="G49" s="187"/>
      <c r="H49" s="188"/>
      <c r="I49" s="1"/>
      <c r="J49" s="188"/>
      <c r="K49" s="188"/>
      <c r="L49" s="188"/>
      <c r="M49" s="202"/>
    </row>
    <row r="50" spans="1:13" ht="17" x14ac:dyDescent="0.25">
      <c r="A50" s="188"/>
      <c r="B50" s="1"/>
      <c r="C50" s="188"/>
      <c r="D50" s="188"/>
      <c r="E50" s="188"/>
      <c r="F50" s="188"/>
      <c r="G50" s="187"/>
      <c r="H50" s="188"/>
      <c r="I50" s="1"/>
      <c r="J50" s="188"/>
      <c r="K50" s="188"/>
      <c r="L50" s="188"/>
      <c r="M50" s="202"/>
    </row>
    <row r="51" spans="1:13" ht="17" x14ac:dyDescent="0.25">
      <c r="A51" s="188"/>
      <c r="B51" s="1"/>
      <c r="C51" s="188"/>
      <c r="D51" s="188"/>
      <c r="E51" s="188"/>
      <c r="F51" s="188"/>
      <c r="G51" s="187"/>
      <c r="H51" s="188"/>
      <c r="I51" s="1"/>
      <c r="J51" s="188"/>
      <c r="K51" s="188"/>
      <c r="L51" s="188"/>
      <c r="M51" s="202"/>
    </row>
    <row r="52" spans="1:13" ht="17" x14ac:dyDescent="0.25">
      <c r="A52" s="188"/>
      <c r="B52" s="1"/>
      <c r="C52" s="188"/>
      <c r="D52" s="188"/>
      <c r="E52" s="188"/>
      <c r="F52" s="188"/>
      <c r="G52" s="187"/>
      <c r="H52" s="188"/>
      <c r="I52" s="1"/>
      <c r="J52" s="188"/>
      <c r="K52" s="188"/>
      <c r="L52" s="188"/>
      <c r="M52" s="202"/>
    </row>
    <row r="53" spans="1:13" ht="17" x14ac:dyDescent="0.25">
      <c r="A53" s="188"/>
      <c r="B53" s="1"/>
      <c r="C53" s="188"/>
      <c r="D53" s="188"/>
      <c r="E53" s="188"/>
      <c r="F53" s="188"/>
      <c r="G53" s="187"/>
      <c r="H53" s="188"/>
      <c r="I53" s="1"/>
      <c r="J53" s="188"/>
      <c r="K53" s="188"/>
      <c r="L53" s="188"/>
      <c r="M53" s="202"/>
    </row>
    <row r="54" spans="1:13" ht="17" x14ac:dyDescent="0.25">
      <c r="A54" s="188"/>
      <c r="B54" s="1"/>
      <c r="C54" s="188"/>
      <c r="D54" s="188"/>
      <c r="E54" s="188"/>
      <c r="F54" s="188"/>
      <c r="G54" s="187"/>
      <c r="H54" s="188"/>
      <c r="I54" s="1"/>
      <c r="J54" s="188"/>
      <c r="K54" s="188"/>
      <c r="L54" s="188"/>
      <c r="M54" s="202"/>
    </row>
    <row r="55" spans="1:13" ht="17" x14ac:dyDescent="0.25">
      <c r="A55" s="188"/>
      <c r="B55" s="1"/>
      <c r="C55" s="188"/>
      <c r="D55" s="188"/>
      <c r="E55" s="188"/>
      <c r="F55" s="188"/>
      <c r="G55" s="187"/>
      <c r="H55" s="188"/>
      <c r="I55" s="1"/>
      <c r="J55" s="188"/>
      <c r="K55" s="188"/>
      <c r="L55" s="188"/>
      <c r="M55" s="202"/>
    </row>
    <row r="56" spans="1:13" ht="17" x14ac:dyDescent="0.25">
      <c r="A56" s="188"/>
      <c r="B56" s="1"/>
      <c r="C56" s="188"/>
      <c r="D56" s="188"/>
      <c r="E56" s="188"/>
      <c r="F56" s="188"/>
      <c r="G56" s="187"/>
      <c r="H56" s="188"/>
      <c r="I56" s="1"/>
      <c r="J56" s="188"/>
      <c r="K56" s="188"/>
      <c r="L56" s="188"/>
      <c r="M56" s="202"/>
    </row>
    <row r="57" spans="1:13" x14ac:dyDescent="0.2">
      <c r="B57" s="1"/>
      <c r="I57" s="1"/>
    </row>
    <row r="58" spans="1:13" x14ac:dyDescent="0.2">
      <c r="B58" s="1"/>
      <c r="I58" s="1"/>
    </row>
    <row r="59" spans="1:13" x14ac:dyDescent="0.2">
      <c r="B59" s="1"/>
      <c r="I59" s="1"/>
    </row>
  </sheetData>
  <mergeCells count="2">
    <mergeCell ref="A2:I2"/>
    <mergeCell ref="A1:I1"/>
  </mergeCells>
  <phoneticPr fontId="1" type="noConversion"/>
  <pageMargins left="0.7" right="0.7" top="0.75" bottom="0.75" header="0.3" footer="0.3"/>
  <pageSetup orientation="portrait" horizontalDpi="0" verticalDpi="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0BB98-C46F-334F-A925-816F91B60FBC}">
  <sheetPr>
    <tabColor theme="9" tint="-0.499984740745262"/>
  </sheetPr>
  <dimension ref="A1:M27"/>
  <sheetViews>
    <sheetView topLeftCell="A3" workbookViewId="0">
      <selection activeCell="D14" sqref="D14"/>
    </sheetView>
  </sheetViews>
  <sheetFormatPr baseColWidth="10" defaultRowHeight="14" x14ac:dyDescent="0.15"/>
  <cols>
    <col min="1" max="1" width="23.83203125" style="6" customWidth="1"/>
    <col min="2" max="2" width="44.1640625" style="6" customWidth="1"/>
    <col min="3" max="3" width="45.6640625" style="6" customWidth="1"/>
    <col min="4" max="6" width="33" style="6" customWidth="1"/>
    <col min="7" max="9" width="36.33203125" style="6" customWidth="1"/>
    <col min="10" max="16384" width="10.83203125" style="6"/>
  </cols>
  <sheetData>
    <row r="1" spans="1:13" ht="17" x14ac:dyDescent="0.25">
      <c r="A1" s="533" t="s">
        <v>141</v>
      </c>
      <c r="B1" s="533"/>
      <c r="C1" s="533"/>
    </row>
    <row r="2" spans="1:13" ht="16" customHeight="1" x14ac:dyDescent="0.2">
      <c r="A2" s="532" t="s">
        <v>2273</v>
      </c>
      <c r="B2" s="532"/>
      <c r="C2" s="532"/>
      <c r="D2" s="119"/>
      <c r="E2" s="119"/>
      <c r="F2" s="119"/>
      <c r="G2" s="119"/>
      <c r="H2" s="119"/>
      <c r="I2" s="119"/>
      <c r="J2" s="119"/>
      <c r="K2" s="119"/>
      <c r="L2" s="119"/>
      <c r="M2" s="119"/>
    </row>
    <row r="3" spans="1:13" ht="32" customHeight="1" x14ac:dyDescent="0.2">
      <c r="A3" s="198" t="s">
        <v>331</v>
      </c>
      <c r="B3" s="540" t="s">
        <v>1343</v>
      </c>
      <c r="C3" s="541"/>
      <c r="D3" s="119"/>
      <c r="E3" s="119"/>
      <c r="F3" s="119"/>
      <c r="G3" s="119"/>
      <c r="H3" s="119"/>
      <c r="I3" s="119"/>
      <c r="J3" s="119"/>
      <c r="K3" s="119"/>
      <c r="L3" s="119"/>
      <c r="M3" s="119"/>
    </row>
    <row r="4" spans="1:13" ht="32" customHeight="1" x14ac:dyDescent="0.2">
      <c r="A4" s="258" t="s">
        <v>1317</v>
      </c>
      <c r="B4" s="475" t="s">
        <v>1344</v>
      </c>
      <c r="C4" s="476"/>
      <c r="D4" s="119"/>
      <c r="E4" s="119"/>
      <c r="F4" s="119"/>
      <c r="G4" s="119"/>
      <c r="H4" s="119"/>
      <c r="I4" s="119"/>
      <c r="J4" s="119"/>
      <c r="K4" s="119"/>
      <c r="L4" s="119"/>
      <c r="M4" s="119"/>
    </row>
    <row r="5" spans="1:13" ht="32" customHeight="1" x14ac:dyDescent="0.2">
      <c r="A5" s="198"/>
      <c r="B5" s="475" t="s">
        <v>1345</v>
      </c>
      <c r="C5" s="476"/>
      <c r="D5" s="119"/>
      <c r="E5" s="119"/>
      <c r="F5" s="119"/>
      <c r="G5" s="119"/>
      <c r="H5" s="119"/>
      <c r="I5" s="119"/>
      <c r="J5" s="119"/>
      <c r="K5" s="119"/>
      <c r="L5" s="119"/>
      <c r="M5" s="119"/>
    </row>
    <row r="6" spans="1:13" ht="32" customHeight="1" x14ac:dyDescent="0.2">
      <c r="A6" s="198"/>
      <c r="B6" s="475" t="s">
        <v>1346</v>
      </c>
      <c r="C6" s="476"/>
      <c r="D6" s="119"/>
      <c r="E6" s="119"/>
      <c r="F6" s="119"/>
      <c r="G6" s="119"/>
      <c r="H6" s="119"/>
      <c r="I6" s="119"/>
      <c r="J6" s="119"/>
      <c r="K6" s="119"/>
      <c r="L6" s="119"/>
      <c r="M6" s="119"/>
    </row>
    <row r="7" spans="1:13" ht="32" customHeight="1" x14ac:dyDescent="0.2">
      <c r="A7" s="198"/>
      <c r="B7" s="475" t="s">
        <v>1347</v>
      </c>
      <c r="C7" s="476"/>
      <c r="D7" s="119"/>
      <c r="E7" s="119"/>
      <c r="F7" s="119"/>
      <c r="G7" s="119"/>
      <c r="H7" s="119"/>
      <c r="I7" s="119"/>
      <c r="J7" s="119"/>
      <c r="K7" s="119"/>
      <c r="L7" s="119"/>
      <c r="M7" s="119"/>
    </row>
    <row r="8" spans="1:13" ht="32" customHeight="1" x14ac:dyDescent="0.2">
      <c r="A8" s="198"/>
      <c r="B8" s="475" t="s">
        <v>1348</v>
      </c>
      <c r="C8" s="476"/>
      <c r="D8" s="119"/>
      <c r="E8" s="119"/>
      <c r="F8" s="119"/>
      <c r="G8" s="119"/>
      <c r="H8" s="119"/>
      <c r="I8" s="119"/>
      <c r="J8" s="119"/>
      <c r="K8" s="119"/>
      <c r="L8" s="119"/>
      <c r="M8" s="119"/>
    </row>
    <row r="9" spans="1:13" ht="32" customHeight="1" x14ac:dyDescent="0.2">
      <c r="A9" s="198"/>
      <c r="B9" s="475" t="s">
        <v>1349</v>
      </c>
      <c r="C9" s="476"/>
      <c r="D9" s="119"/>
      <c r="E9" s="119"/>
      <c r="F9" s="119"/>
      <c r="G9" s="119"/>
      <c r="H9" s="119"/>
      <c r="I9" s="119"/>
      <c r="J9" s="119"/>
      <c r="K9" s="119"/>
      <c r="L9" s="119"/>
      <c r="M9" s="119"/>
    </row>
    <row r="10" spans="1:13" ht="32" customHeight="1" x14ac:dyDescent="0.2">
      <c r="A10" s="259"/>
      <c r="B10" s="475" t="s">
        <v>1350</v>
      </c>
      <c r="C10" s="476"/>
      <c r="D10" s="119"/>
      <c r="E10" s="119"/>
      <c r="F10" s="119"/>
      <c r="G10" s="119"/>
      <c r="H10" s="119"/>
      <c r="I10" s="119"/>
      <c r="J10" s="119"/>
      <c r="K10" s="119"/>
      <c r="L10" s="119"/>
      <c r="M10" s="119"/>
    </row>
    <row r="11" spans="1:13" ht="15" x14ac:dyDescent="0.2">
      <c r="A11" s="198" t="s">
        <v>1318</v>
      </c>
      <c r="B11" s="200" t="s">
        <v>16</v>
      </c>
      <c r="C11" s="200" t="s">
        <v>14</v>
      </c>
      <c r="D11" s="119"/>
      <c r="E11" s="119"/>
      <c r="F11" s="119"/>
      <c r="G11" s="119"/>
      <c r="H11" s="119"/>
      <c r="I11" s="119"/>
      <c r="J11" s="119"/>
      <c r="K11" s="119"/>
      <c r="L11" s="119"/>
      <c r="M11" s="119"/>
    </row>
    <row r="12" spans="1:13" ht="32" x14ac:dyDescent="0.2">
      <c r="A12" s="534" t="s">
        <v>323</v>
      </c>
      <c r="B12" s="261" t="s">
        <v>1319</v>
      </c>
      <c r="C12" s="261" t="s">
        <v>1352</v>
      </c>
      <c r="D12" s="119"/>
      <c r="E12" s="119"/>
      <c r="F12" s="119"/>
      <c r="G12" s="119"/>
      <c r="H12" s="119"/>
      <c r="I12" s="119"/>
      <c r="J12" s="119"/>
      <c r="K12" s="119"/>
      <c r="L12" s="119"/>
      <c r="M12" s="119"/>
    </row>
    <row r="13" spans="1:13" ht="48" x14ac:dyDescent="0.2">
      <c r="A13" s="535"/>
      <c r="B13" s="260" t="s">
        <v>1355</v>
      </c>
      <c r="C13" s="260" t="s">
        <v>1360</v>
      </c>
      <c r="D13" s="119"/>
      <c r="E13" s="119"/>
      <c r="F13" s="119"/>
      <c r="G13" s="119"/>
      <c r="H13" s="119"/>
      <c r="I13" s="119"/>
      <c r="J13" s="119"/>
      <c r="K13" s="119"/>
      <c r="L13" s="119"/>
      <c r="M13" s="119"/>
    </row>
    <row r="14" spans="1:13" ht="48" x14ac:dyDescent="0.2">
      <c r="A14" s="536"/>
      <c r="B14" s="260" t="s">
        <v>1354</v>
      </c>
      <c r="C14" s="260" t="s">
        <v>1361</v>
      </c>
      <c r="D14" s="119"/>
      <c r="E14" s="119"/>
      <c r="F14" s="119"/>
      <c r="G14" s="119"/>
      <c r="H14" s="119"/>
      <c r="I14" s="119"/>
      <c r="J14" s="119"/>
      <c r="K14" s="119"/>
      <c r="L14" s="119"/>
      <c r="M14" s="119"/>
    </row>
    <row r="15" spans="1:13" ht="32" x14ac:dyDescent="0.2">
      <c r="A15" s="537" t="s">
        <v>15</v>
      </c>
      <c r="B15" s="261" t="s">
        <v>1351</v>
      </c>
      <c r="C15" s="261" t="s">
        <v>1353</v>
      </c>
      <c r="D15" s="119"/>
      <c r="E15" s="119"/>
      <c r="F15" s="119"/>
      <c r="G15" s="119"/>
      <c r="H15" s="119"/>
      <c r="I15" s="119"/>
      <c r="J15" s="119"/>
      <c r="K15" s="119"/>
      <c r="L15" s="119"/>
      <c r="M15" s="119"/>
    </row>
    <row r="16" spans="1:13" ht="48" x14ac:dyDescent="0.2">
      <c r="A16" s="538"/>
      <c r="B16" s="260" t="s">
        <v>1356</v>
      </c>
      <c r="C16" s="260" t="s">
        <v>1358</v>
      </c>
      <c r="D16" s="119"/>
      <c r="E16" s="119"/>
      <c r="F16" s="119"/>
      <c r="G16" s="119"/>
      <c r="H16" s="119"/>
      <c r="I16" s="119"/>
      <c r="J16" s="119"/>
      <c r="K16" s="119"/>
      <c r="L16" s="119"/>
      <c r="M16" s="119"/>
    </row>
    <row r="17" spans="1:13" ht="48" x14ac:dyDescent="0.2">
      <c r="A17" s="539"/>
      <c r="B17" s="260" t="s">
        <v>1357</v>
      </c>
      <c r="C17" s="260" t="s">
        <v>1359</v>
      </c>
      <c r="D17" s="119"/>
      <c r="E17" s="119"/>
      <c r="F17" s="119"/>
      <c r="G17" s="119"/>
      <c r="H17" s="119"/>
      <c r="I17" s="119"/>
      <c r="J17" s="119"/>
      <c r="K17" s="119"/>
      <c r="L17" s="119"/>
      <c r="M17" s="119"/>
    </row>
    <row r="18" spans="1:13" ht="15" x14ac:dyDescent="0.2">
      <c r="A18" s="119"/>
      <c r="B18" s="119"/>
      <c r="C18" s="119"/>
      <c r="D18" s="119"/>
      <c r="E18" s="119"/>
      <c r="F18" s="119"/>
      <c r="G18" s="119"/>
      <c r="H18" s="119"/>
      <c r="I18" s="119"/>
      <c r="J18" s="119"/>
      <c r="K18" s="119"/>
      <c r="L18" s="119"/>
      <c r="M18" s="119"/>
    </row>
    <row r="19" spans="1:13" ht="15" x14ac:dyDescent="0.2">
      <c r="A19" s="119"/>
      <c r="B19" s="119"/>
      <c r="C19" s="119"/>
      <c r="D19" s="119"/>
      <c r="E19" s="119"/>
      <c r="F19" s="119"/>
      <c r="G19" s="119"/>
      <c r="H19" s="119"/>
      <c r="I19" s="119"/>
      <c r="J19" s="119"/>
      <c r="K19" s="119"/>
      <c r="L19" s="119"/>
      <c r="M19" s="119"/>
    </row>
    <row r="20" spans="1:13" ht="15" x14ac:dyDescent="0.2">
      <c r="A20" s="119"/>
      <c r="B20" s="119"/>
      <c r="C20" s="119"/>
      <c r="D20" s="119"/>
      <c r="E20" s="119"/>
      <c r="F20" s="119"/>
      <c r="G20" s="119"/>
      <c r="H20" s="119"/>
      <c r="I20" s="119"/>
      <c r="J20" s="119"/>
      <c r="K20" s="119"/>
      <c r="L20" s="119"/>
      <c r="M20" s="119"/>
    </row>
    <row r="21" spans="1:13" ht="15" x14ac:dyDescent="0.2">
      <c r="A21" s="119"/>
      <c r="B21" s="119"/>
      <c r="C21" s="119"/>
      <c r="D21" s="119"/>
      <c r="E21" s="119"/>
      <c r="F21" s="119"/>
      <c r="G21" s="119"/>
      <c r="H21" s="119"/>
      <c r="I21" s="119"/>
      <c r="J21" s="119"/>
      <c r="K21" s="119"/>
      <c r="L21" s="119"/>
      <c r="M21" s="119"/>
    </row>
    <row r="22" spans="1:13" ht="15" x14ac:dyDescent="0.2">
      <c r="A22" s="119"/>
      <c r="B22" s="119"/>
      <c r="C22" s="119"/>
      <c r="D22" s="119"/>
      <c r="E22" s="119"/>
      <c r="F22" s="119"/>
      <c r="G22" s="119"/>
      <c r="H22" s="119"/>
      <c r="I22" s="119"/>
      <c r="J22" s="119"/>
      <c r="K22" s="119"/>
      <c r="L22" s="119"/>
      <c r="M22" s="119"/>
    </row>
    <row r="23" spans="1:13" ht="15" x14ac:dyDescent="0.2">
      <c r="A23" s="119"/>
      <c r="B23" s="119"/>
      <c r="C23" s="119"/>
      <c r="D23" s="119"/>
      <c r="E23" s="119"/>
      <c r="F23" s="119"/>
      <c r="G23" s="119"/>
      <c r="H23" s="119"/>
      <c r="I23" s="119"/>
      <c r="J23" s="119"/>
      <c r="K23" s="119"/>
      <c r="L23" s="119"/>
      <c r="M23" s="119"/>
    </row>
    <row r="24" spans="1:13" ht="15" x14ac:dyDescent="0.2">
      <c r="A24" s="119"/>
      <c r="B24" s="119"/>
      <c r="C24" s="119"/>
      <c r="D24" s="119"/>
      <c r="E24" s="119"/>
      <c r="F24" s="119"/>
      <c r="G24" s="119"/>
      <c r="H24" s="119"/>
      <c r="I24" s="119"/>
      <c r="J24" s="119"/>
      <c r="K24" s="119"/>
      <c r="L24" s="119"/>
      <c r="M24" s="119"/>
    </row>
    <row r="25" spans="1:13" ht="15" x14ac:dyDescent="0.2">
      <c r="A25" s="119"/>
      <c r="B25" s="119"/>
      <c r="C25" s="119"/>
      <c r="D25" s="119"/>
      <c r="E25" s="119"/>
      <c r="F25" s="119"/>
      <c r="G25" s="119"/>
      <c r="H25" s="119"/>
      <c r="I25" s="119"/>
      <c r="J25" s="119"/>
      <c r="K25" s="119"/>
      <c r="L25" s="119"/>
      <c r="M25" s="119"/>
    </row>
    <row r="26" spans="1:13" ht="15" x14ac:dyDescent="0.2">
      <c r="A26" s="119"/>
      <c r="B26" s="119"/>
      <c r="C26" s="119"/>
      <c r="D26" s="119"/>
      <c r="E26" s="119"/>
      <c r="F26" s="119"/>
      <c r="G26" s="119"/>
      <c r="H26" s="119"/>
      <c r="I26" s="119"/>
      <c r="J26" s="119"/>
      <c r="K26" s="119"/>
      <c r="L26" s="119"/>
      <c r="M26" s="119"/>
    </row>
    <row r="27" spans="1:13" ht="15" x14ac:dyDescent="0.2">
      <c r="A27" s="119"/>
      <c r="B27" s="119"/>
      <c r="C27" s="119"/>
      <c r="D27" s="119"/>
      <c r="E27" s="119"/>
      <c r="F27" s="119"/>
      <c r="G27" s="119"/>
      <c r="H27" s="119"/>
      <c r="I27" s="119"/>
      <c r="J27" s="119"/>
      <c r="K27" s="119"/>
      <c r="L27" s="119"/>
      <c r="M27" s="119"/>
    </row>
  </sheetData>
  <mergeCells count="12">
    <mergeCell ref="A2:C2"/>
    <mergeCell ref="A1:C1"/>
    <mergeCell ref="A12:A14"/>
    <mergeCell ref="A15:A17"/>
    <mergeCell ref="B3:C3"/>
    <mergeCell ref="B4:C4"/>
    <mergeCell ref="B5:C5"/>
    <mergeCell ref="B6:C6"/>
    <mergeCell ref="B9:C9"/>
    <mergeCell ref="B10:C10"/>
    <mergeCell ref="B7:C7"/>
    <mergeCell ref="B8:C8"/>
  </mergeCells>
  <pageMargins left="0.7" right="0.7" top="0.75" bottom="0.75" header="0.3" footer="0.3"/>
  <pageSetup orientation="portrait"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2FBE2-4EA2-6E41-99A9-497C159A4D89}">
  <sheetPr>
    <tabColor theme="9" tint="-0.499984740745262"/>
    <pageSetUpPr fitToPage="1"/>
  </sheetPr>
  <dimension ref="A1:Z122"/>
  <sheetViews>
    <sheetView tabSelected="1" view="pageBreakPreview" zoomScale="95" zoomScaleNormal="100" zoomScaleSheetLayoutView="95" workbookViewId="0">
      <pane xSplit="3" ySplit="1" topLeftCell="D85" activePane="bottomRight" state="frozen"/>
      <selection pane="topRight" activeCell="D1" sqref="D1"/>
      <selection pane="bottomLeft" activeCell="A2" sqref="A2"/>
      <selection pane="bottomRight" activeCell="K100" sqref="K100"/>
    </sheetView>
  </sheetViews>
  <sheetFormatPr baseColWidth="10" defaultRowHeight="15" x14ac:dyDescent="0.2"/>
  <cols>
    <col min="1" max="1" width="6.5" style="84" customWidth="1"/>
    <col min="2" max="2" width="4.83203125" style="84" customWidth="1"/>
    <col min="3" max="3" width="32.33203125" style="91" customWidth="1"/>
    <col min="4" max="4" width="26.83203125" style="172" customWidth="1"/>
    <col min="5" max="5" width="36.83203125" style="91" customWidth="1"/>
    <col min="6" max="6" width="139.5" style="84" customWidth="1"/>
    <col min="7" max="7" width="12.33203125" style="309" customWidth="1"/>
    <col min="8" max="8" width="11.5" style="84" bestFit="1" customWidth="1"/>
    <col min="9" max="9" width="84" style="84" customWidth="1"/>
    <col min="10" max="16384" width="10.83203125" style="84"/>
  </cols>
  <sheetData>
    <row r="1" spans="1:25" ht="17" x14ac:dyDescent="0.2">
      <c r="B1" s="610" t="s">
        <v>142</v>
      </c>
      <c r="C1" s="611"/>
      <c r="D1" s="611"/>
      <c r="E1" s="611"/>
      <c r="F1" s="611"/>
      <c r="G1" s="612"/>
    </row>
    <row r="2" spans="1:25" ht="16" x14ac:dyDescent="0.2">
      <c r="A2" s="135"/>
      <c r="B2" s="408" t="s">
        <v>602</v>
      </c>
      <c r="C2" s="409" t="s">
        <v>334</v>
      </c>
      <c r="D2" s="542" t="s">
        <v>172</v>
      </c>
      <c r="E2" s="543"/>
      <c r="F2" s="543"/>
      <c r="G2" s="613"/>
    </row>
    <row r="3" spans="1:25" ht="16" customHeight="1" x14ac:dyDescent="0.2">
      <c r="A3" s="270" t="s">
        <v>337</v>
      </c>
      <c r="B3" s="269"/>
      <c r="C3" s="402" t="s">
        <v>1387</v>
      </c>
      <c r="D3" s="606" t="s">
        <v>1362</v>
      </c>
      <c r="E3" s="607"/>
      <c r="F3" s="607"/>
      <c r="G3" s="614"/>
    </row>
    <row r="4" spans="1:25" ht="16" customHeight="1" x14ac:dyDescent="0.2">
      <c r="A4" s="271" t="s">
        <v>337</v>
      </c>
      <c r="B4" s="262"/>
      <c r="C4" s="403" t="s">
        <v>1386</v>
      </c>
      <c r="D4" s="606" t="s">
        <v>1363</v>
      </c>
      <c r="E4" s="607"/>
      <c r="F4" s="607"/>
      <c r="G4" s="614"/>
    </row>
    <row r="5" spans="1:25" ht="16" customHeight="1" x14ac:dyDescent="0.2">
      <c r="A5" s="271" t="s">
        <v>337</v>
      </c>
      <c r="B5" s="262"/>
      <c r="C5" s="403" t="s">
        <v>1388</v>
      </c>
      <c r="D5" s="606" t="s">
        <v>1390</v>
      </c>
      <c r="E5" s="607"/>
      <c r="F5" s="607"/>
      <c r="G5" s="614"/>
    </row>
    <row r="6" spans="1:25" ht="16" x14ac:dyDescent="0.2">
      <c r="A6" s="271"/>
      <c r="B6" s="262"/>
      <c r="C6" s="404" t="s">
        <v>1368</v>
      </c>
      <c r="D6" s="544" t="s">
        <v>2128</v>
      </c>
      <c r="E6" s="545"/>
      <c r="F6" s="545"/>
      <c r="G6" s="614"/>
    </row>
    <row r="7" spans="1:25" ht="15" customHeight="1" x14ac:dyDescent="0.2">
      <c r="A7" s="271"/>
      <c r="B7" s="135"/>
      <c r="C7" s="405"/>
      <c r="D7" s="546" t="s">
        <v>2129</v>
      </c>
      <c r="E7" s="547"/>
      <c r="F7" s="547"/>
      <c r="G7" s="614"/>
    </row>
    <row r="8" spans="1:25" ht="15" customHeight="1" x14ac:dyDescent="0.2">
      <c r="A8" s="271"/>
      <c r="B8" s="135"/>
      <c r="C8" s="405"/>
      <c r="D8" s="608" t="s">
        <v>2180</v>
      </c>
      <c r="E8" s="609"/>
      <c r="F8" s="609"/>
      <c r="G8" s="614"/>
    </row>
    <row r="9" spans="1:25" ht="16" customHeight="1" x14ac:dyDescent="0.2">
      <c r="A9" s="271" t="s">
        <v>338</v>
      </c>
      <c r="B9" s="262"/>
      <c r="C9" s="403" t="s">
        <v>335</v>
      </c>
      <c r="D9" s="606" t="s">
        <v>1398</v>
      </c>
      <c r="E9" s="607"/>
      <c r="F9" s="607"/>
      <c r="G9" s="614"/>
    </row>
    <row r="10" spans="1:25" ht="16" customHeight="1" x14ac:dyDescent="0.2">
      <c r="A10" s="264" t="s">
        <v>339</v>
      </c>
      <c r="B10" s="263"/>
      <c r="C10" s="406" t="s">
        <v>336</v>
      </c>
      <c r="D10" s="606" t="s">
        <v>1400</v>
      </c>
      <c r="E10" s="607"/>
      <c r="F10" s="607"/>
      <c r="G10" s="614"/>
    </row>
    <row r="11" spans="1:25" ht="16" customHeight="1" x14ac:dyDescent="0.2">
      <c r="A11" s="264" t="s">
        <v>339</v>
      </c>
      <c r="B11" s="268"/>
      <c r="C11" s="407" t="s">
        <v>1399</v>
      </c>
      <c r="D11" s="606" t="s">
        <v>1401</v>
      </c>
      <c r="E11" s="607"/>
      <c r="F11" s="607"/>
      <c r="G11" s="614"/>
    </row>
    <row r="12" spans="1:25" s="144" customFormat="1" x14ac:dyDescent="0.2">
      <c r="A12" s="84"/>
      <c r="B12" s="172"/>
      <c r="C12" s="172"/>
      <c r="D12" s="172"/>
      <c r="E12" s="91"/>
      <c r="F12" s="84"/>
      <c r="G12" s="309"/>
      <c r="I12" s="84"/>
      <c r="J12" s="84"/>
      <c r="K12" s="84"/>
      <c r="L12" s="84"/>
      <c r="M12" s="84"/>
      <c r="N12" s="84"/>
      <c r="O12" s="84"/>
      <c r="P12" s="84"/>
      <c r="Q12" s="84"/>
      <c r="R12" s="84"/>
      <c r="S12" s="84"/>
      <c r="T12" s="84"/>
      <c r="U12" s="84"/>
      <c r="V12" s="84"/>
      <c r="W12" s="84"/>
      <c r="X12" s="84"/>
      <c r="Y12" s="84"/>
    </row>
    <row r="13" spans="1:25" x14ac:dyDescent="0.2">
      <c r="B13" s="311" t="s">
        <v>597</v>
      </c>
      <c r="C13" s="312"/>
      <c r="D13" s="312"/>
      <c r="E13" s="313"/>
      <c r="F13" s="312"/>
      <c r="G13" s="314"/>
      <c r="H13" s="226"/>
      <c r="I13" s="226"/>
    </row>
    <row r="14" spans="1:25" ht="17" x14ac:dyDescent="0.2">
      <c r="A14" s="315"/>
      <c r="B14" s="316" t="s">
        <v>40</v>
      </c>
      <c r="C14" s="144" t="s">
        <v>1703</v>
      </c>
      <c r="D14" s="219" t="s">
        <v>128</v>
      </c>
      <c r="E14" s="317" t="s">
        <v>1364</v>
      </c>
      <c r="F14" s="219" t="s">
        <v>172</v>
      </c>
      <c r="G14" s="265" t="s">
        <v>595</v>
      </c>
      <c r="H14" s="331" t="s">
        <v>1702</v>
      </c>
      <c r="I14" s="345" t="s">
        <v>174</v>
      </c>
      <c r="J14" s="318"/>
      <c r="K14" s="318"/>
      <c r="L14" s="318"/>
      <c r="M14" s="318"/>
    </row>
    <row r="15" spans="1:25" s="144" customFormat="1" ht="47" customHeight="1" x14ac:dyDescent="0.2">
      <c r="A15" s="84"/>
      <c r="B15" s="147" t="s">
        <v>1377</v>
      </c>
      <c r="C15" s="147" t="s">
        <v>1366</v>
      </c>
      <c r="D15" s="170" t="s">
        <v>342</v>
      </c>
      <c r="E15" s="147" t="s">
        <v>2128</v>
      </c>
      <c r="F15" s="147" t="s">
        <v>1393</v>
      </c>
      <c r="G15" s="604">
        <v>50040</v>
      </c>
      <c r="H15" s="334">
        <f>SUMIFS(Stratgegy_OBJ[Cost],Stratgegy_OBJ[Strategic Goal Targeted],Stratgegy_SG[[#This Row],[Short Name]])</f>
        <v>116500000</v>
      </c>
      <c r="I15" s="195" t="str">
        <f>Stratgegy_SG[[#This Row],[Short Name]]&amp;" ("&amp;Stratgegy_SG[[#This Row],[Type]]&amp;"): "&amp;Stratgegy_SG[[#This Row],[Description]]&amp;" (Condition Measured: "&amp;Stratgegy_SG[[#Headers],[Condition Targeted]]&amp;"; Date targeted: "&amp;TEXT(Stratgegy_SG[[#This Row],[Target Date]],"DD-MMM-YYYY")&amp;"; Cost: "&amp;TEXT(Stratgegy_SG[[#This Row],[Cost]],"$#,##0")&amp;")"</f>
        <v>U.S. DoD Dominance Retention (Basic): Sentinel is maintaining superior U.S. DoD contract performance and technological leadership through made-in-America craftsmanship, continuous innovation, delivery excellence, and relationships. (Condition Measured: Condition Targeted; Date targeted: 31-Dec-2036; Cost: $116,500,000)</v>
      </c>
      <c r="J15" s="189"/>
      <c r="K15" s="189"/>
      <c r="L15" s="189"/>
      <c r="M15" s="319"/>
      <c r="N15" s="84"/>
      <c r="O15" s="84"/>
      <c r="P15" s="84"/>
      <c r="Q15" s="84"/>
      <c r="R15" s="84"/>
      <c r="S15" s="84"/>
      <c r="T15" s="84"/>
      <c r="U15" s="84"/>
      <c r="V15" s="84"/>
      <c r="W15" s="84"/>
      <c r="X15" s="84"/>
      <c r="Y15" s="84"/>
    </row>
    <row r="16" spans="1:25" s="144" customFormat="1" ht="47" customHeight="1" x14ac:dyDescent="0.2">
      <c r="A16" s="84"/>
      <c r="B16" s="147" t="s">
        <v>1378</v>
      </c>
      <c r="C16" s="147" t="s">
        <v>1365</v>
      </c>
      <c r="D16" s="170" t="s">
        <v>342</v>
      </c>
      <c r="E16" s="147" t="s">
        <v>2129</v>
      </c>
      <c r="F16" s="147" t="s">
        <v>1391</v>
      </c>
      <c r="G16" s="602">
        <v>49309</v>
      </c>
      <c r="H16" s="335">
        <f>SUMIFS(Stratgegy_OBJ[Cost],Stratgegy_OBJ[Strategic Goal Targeted],Stratgegy_SG[[#This Row],[Short Name]])</f>
        <v>125500000</v>
      </c>
      <c r="I16" s="195" t="str">
        <f>Stratgegy_SG[[#This Row],[Short Name]]&amp;" ("&amp;Stratgegy_SG[[#This Row],[Type]]&amp;"): "&amp;Stratgegy_SG[[#This Row],[Description]]&amp;" (Condition Measured: "&amp;Stratgegy_SG[[#Headers],[Condition Targeted]]&amp;"; Date targeted: "&amp;TEXT(Stratgegy_SG[[#This Row],[Target Date]],"DD-MMM-YYYY")&amp;"; Cost: "&amp;TEXT(Stratgegy_SG[[#This Row],[Cost]],"$#,##0")&amp;")"</f>
        <v>Southeast Asian Market Entry (Basic): Sentinel is established as a leading Southeast Asian defense supplier through climate-specialized vehicles, strategic relationships, and offset agreements. (Condition Measured: Condition Targeted; Date targeted: 31-Dec-2034; Cost: $125,500,000)</v>
      </c>
      <c r="J16" s="189"/>
      <c r="K16" s="189"/>
      <c r="L16" s="189"/>
      <c r="M16" s="319"/>
      <c r="N16" s="84"/>
      <c r="O16" s="84"/>
      <c r="P16" s="84"/>
      <c r="Q16" s="84"/>
      <c r="R16" s="84"/>
      <c r="S16" s="84"/>
      <c r="T16" s="84"/>
      <c r="U16" s="84"/>
      <c r="V16" s="84"/>
      <c r="W16" s="84"/>
      <c r="X16" s="84"/>
      <c r="Y16" s="84"/>
    </row>
    <row r="17" spans="1:26" s="144" customFormat="1" ht="47" customHeight="1" x14ac:dyDescent="0.2">
      <c r="A17" s="84"/>
      <c r="B17" s="147" t="s">
        <v>1379</v>
      </c>
      <c r="C17" s="147" t="s">
        <v>1394</v>
      </c>
      <c r="D17" s="170" t="s">
        <v>332</v>
      </c>
      <c r="E17" s="147" t="s">
        <v>2129</v>
      </c>
      <c r="F17" s="147" t="s">
        <v>2183</v>
      </c>
      <c r="G17" s="602">
        <v>48579</v>
      </c>
      <c r="H17" s="335">
        <f>SUMIFS(Stratgegy_OBJ[Cost],Stratgegy_OBJ[Strategic Goal Targeted],Stratgegy_SG[[#This Row],[Short Name]])</f>
        <v>10000000</v>
      </c>
      <c r="I17" s="195" t="str">
        <f>Stratgegy_SG[[#This Row],[Short Name]]&amp;" ("&amp;Stratgegy_SG[[#This Row],[Type]]&amp;"): "&amp;Stratgegy_SG[[#This Row],[Description]]&amp;" (Condition Measured: "&amp;Stratgegy_SG[[#Headers],[Condition Targeted]]&amp;"; Date targeted: "&amp;TEXT(Stratgegy_SG[[#This Row],[Target Date]],"DD-MMM-YYYY")&amp;"; Cost: "&amp;TEXT(Stratgegy_SG[[#This Row],[Cost]],"$#,##0")&amp;")"</f>
        <v>Market Environment Preparation (Shaping): The environment is enabling market access to Southeast Asia through a supportive regulatory environment, approved export licenses, and U.S. and Southeast Asian Nation partnerships. (Condition Measured: Condition Targeted; Date targeted: 31-Dec-2032; Cost: $10,000,000)</v>
      </c>
      <c r="J17" s="189"/>
      <c r="K17" s="189"/>
      <c r="L17" s="189"/>
      <c r="M17" s="319"/>
      <c r="N17" s="84"/>
      <c r="O17" s="84"/>
      <c r="P17" s="84"/>
      <c r="Q17" s="84"/>
      <c r="R17" s="84"/>
      <c r="S17" s="84"/>
      <c r="T17" s="84"/>
      <c r="U17" s="84"/>
      <c r="V17" s="84"/>
      <c r="W17" s="84"/>
      <c r="X17" s="84"/>
      <c r="Y17" s="84"/>
    </row>
    <row r="18" spans="1:26" s="144" customFormat="1" ht="47" customHeight="1" x14ac:dyDescent="0.2">
      <c r="A18" s="84"/>
      <c r="B18" s="147" t="s">
        <v>1380</v>
      </c>
      <c r="C18" s="147" t="s">
        <v>1367</v>
      </c>
      <c r="D18" s="147" t="s">
        <v>333</v>
      </c>
      <c r="E18" s="147" t="s">
        <v>2180</v>
      </c>
      <c r="F18" s="147" t="s">
        <v>1392</v>
      </c>
      <c r="G18" s="605">
        <v>50040</v>
      </c>
      <c r="H18" s="335">
        <f>SUMIFS(Stratgegy_OBJ[Cost],Stratgegy_OBJ[Strategic Goal Targeted],Stratgegy_SG[[#This Row],[Short Name]])</f>
        <v>178000000</v>
      </c>
      <c r="I18" s="195" t="str">
        <f>Stratgegy_SG[[#This Row],[Short Name]]&amp;" ("&amp;Stratgegy_SG[[#This Row],[Type]]&amp;"): "&amp;Stratgegy_SG[[#This Row],[Description]]&amp;" (Condition Measured: "&amp;Stratgegy_SG[[#Headers],[Condition Targeted]]&amp;"; Date targeted: "&amp;TEXT(Stratgegy_SG[[#This Row],[Target Date]],"DD-MMM-YYYY")&amp;"; Cost: "&amp;TEXT(Stratgegy_SG[[#This Row],[Cost]],"$#,##0")&amp;")"</f>
        <v>Dual-Market Production Capacity (Hedging): Sentinel's manufacturing operations are enabling simultaneous U.S. and Southeast Asian fulfillment through automation, protecting against single-market dependency, multi-market vehicles. (Condition Measured: Condition Targeted; Date targeted: 31-Dec-2036; Cost: $178,000,000)</v>
      </c>
      <c r="J18" s="84"/>
      <c r="K18" s="84"/>
      <c r="L18" s="84"/>
      <c r="M18" s="84"/>
      <c r="N18" s="84"/>
      <c r="O18" s="84"/>
      <c r="P18" s="84"/>
      <c r="Q18" s="84"/>
      <c r="R18" s="84"/>
      <c r="S18" s="84"/>
      <c r="T18" s="84"/>
      <c r="U18" s="84"/>
      <c r="V18" s="84"/>
      <c r="W18" s="84"/>
      <c r="X18" s="84"/>
      <c r="Y18" s="84"/>
    </row>
    <row r="19" spans="1:26" s="144" customFormat="1" ht="16" x14ac:dyDescent="0.2">
      <c r="A19" s="84"/>
      <c r="B19" s="142"/>
      <c r="C19" s="142"/>
      <c r="D19" s="142"/>
      <c r="E19" s="142"/>
      <c r="F19" s="142"/>
      <c r="G19" s="337" t="s">
        <v>65</v>
      </c>
      <c r="H19" s="601">
        <f>SUM(Stratgegy_SG[Cost])</f>
        <v>430000000</v>
      </c>
      <c r="J19" s="84"/>
      <c r="K19" s="84"/>
      <c r="L19" s="84"/>
      <c r="M19" s="84"/>
      <c r="N19" s="84"/>
      <c r="O19" s="84"/>
      <c r="P19" s="84"/>
      <c r="Q19" s="84"/>
      <c r="R19" s="84"/>
      <c r="S19" s="84"/>
      <c r="T19" s="84"/>
      <c r="U19" s="84"/>
      <c r="V19" s="84"/>
      <c r="W19" s="84"/>
      <c r="X19" s="84"/>
      <c r="Y19" s="84"/>
    </row>
    <row r="21" spans="1:26" x14ac:dyDescent="0.2">
      <c r="A21" s="315"/>
      <c r="B21" s="311" t="s">
        <v>598</v>
      </c>
      <c r="C21" s="311"/>
      <c r="D21" s="311"/>
      <c r="E21" s="320"/>
      <c r="F21" s="311"/>
      <c r="G21" s="321"/>
      <c r="H21" s="226"/>
      <c r="I21" s="226"/>
    </row>
    <row r="22" spans="1:26" s="144" customFormat="1" x14ac:dyDescent="0.2">
      <c r="A22" s="84"/>
      <c r="B22" s="322" t="s">
        <v>40</v>
      </c>
      <c r="C22" s="144" t="s">
        <v>1703</v>
      </c>
      <c r="D22" s="219" t="s">
        <v>1409</v>
      </c>
      <c r="E22" s="219" t="s">
        <v>1389</v>
      </c>
      <c r="F22" s="219" t="s">
        <v>172</v>
      </c>
      <c r="G22" s="323" t="s">
        <v>595</v>
      </c>
      <c r="H22" s="310" t="s">
        <v>2085</v>
      </c>
      <c r="I22" s="345" t="s">
        <v>174</v>
      </c>
      <c r="J22" s="84"/>
      <c r="K22" s="84"/>
      <c r="L22" s="84"/>
      <c r="M22" s="84"/>
      <c r="N22" s="84"/>
      <c r="O22" s="84"/>
      <c r="P22" s="84"/>
      <c r="Q22" s="84"/>
      <c r="R22" s="84"/>
      <c r="S22" s="84"/>
      <c r="T22" s="84"/>
      <c r="U22" s="84"/>
      <c r="V22" s="84"/>
      <c r="W22" s="84"/>
      <c r="X22" s="84"/>
      <c r="Y22" s="84"/>
      <c r="Z22" s="84"/>
    </row>
    <row r="23" spans="1:26" s="144" customFormat="1" ht="34" customHeight="1" x14ac:dyDescent="0.2">
      <c r="A23" s="84"/>
      <c r="B23" s="147" t="s">
        <v>1381</v>
      </c>
      <c r="C23" s="135" t="s">
        <v>1369</v>
      </c>
      <c r="D23" s="196" t="s">
        <v>1366</v>
      </c>
      <c r="E23" s="147" t="s">
        <v>2128</v>
      </c>
      <c r="F23" s="597" t="s">
        <v>1370</v>
      </c>
      <c r="G23" s="602">
        <v>50040</v>
      </c>
      <c r="H23" s="598"/>
      <c r="I23" s="147" t="str">
        <f>Stratgegy_MOE[[#This Row],[Short Name]]&amp;" (Strategic Goal Targeted: "&amp;Stratgegy_MOE[[#This Row],[Strategic Goal Targeted]]&amp;"): "&amp;Stratgegy_MOE[[#This Row],[Description]]&amp;" (Condition Measured: "&amp;Stratgegy_MOE[[#This Row],[Condition Measured]]&amp;"; Date targeted: "&amp;TEXT(Stratgegy_MOE[[#This Row],[Target Date]],"DD-MMM-YYYY")&amp;")"</f>
        <v>U.S. Contract Retention Rate (Strategic Goal Targeted: U.S. DoD Dominance Retention): U.S. DoD contract renewals have maintained 90% retention rate compared to baseline of 85% historical average. (Condition Measured: U.S. DoD Dominance Maintained; Date targeted: 31-Dec-2036)</v>
      </c>
      <c r="J23" s="84"/>
      <c r="K23" s="84"/>
      <c r="L23" s="84"/>
      <c r="M23" s="84"/>
      <c r="N23" s="84"/>
      <c r="O23" s="84"/>
      <c r="P23" s="84"/>
      <c r="Q23" s="84"/>
      <c r="R23" s="84"/>
      <c r="S23" s="84"/>
      <c r="T23" s="84"/>
      <c r="U23" s="84"/>
      <c r="V23" s="84"/>
      <c r="W23" s="84"/>
      <c r="X23" s="84"/>
      <c r="Y23" s="84"/>
      <c r="Z23" s="84"/>
    </row>
    <row r="24" spans="1:26" s="144" customFormat="1" ht="34" customHeight="1" x14ac:dyDescent="0.2">
      <c r="A24" s="84"/>
      <c r="B24" s="147" t="s">
        <v>1382</v>
      </c>
      <c r="C24" s="135" t="s">
        <v>1371</v>
      </c>
      <c r="D24" s="196" t="s">
        <v>1366</v>
      </c>
      <c r="E24" s="147" t="s">
        <v>2128</v>
      </c>
      <c r="F24" s="597" t="s">
        <v>1372</v>
      </c>
      <c r="G24" s="602">
        <v>50040</v>
      </c>
      <c r="H24" s="598"/>
      <c r="I24" s="147" t="str">
        <f>Stratgegy_MOE[[#This Row],[Short Name]]&amp;" (Strategic Goal Targeted: "&amp;Stratgegy_MOE[[#This Row],[Strategic Goal Targeted]]&amp;"): "&amp;Stratgegy_MOE[[#This Row],[Description]]&amp;" (Condition Measured: "&amp;Stratgegy_MOE[[#This Row],[Condition Measured]]&amp;"; Date targeted: "&amp;TEXT(Stratgegy_MOE[[#This Row],[Target Date]],"DD-MMM-YYYY")&amp;")"</f>
        <v>Domestic Market Share Stability (Strategic Goal Targeted: U.S. DoD Dominance Retention): Sentinel's U.S. armored vehicle market share has maintained 28% compared to baseline of 27% in 2026. (Condition Measured: U.S. DoD Dominance Maintained; Date targeted: 31-Dec-2036)</v>
      </c>
      <c r="J24" s="84"/>
      <c r="K24" s="84"/>
      <c r="L24" s="84"/>
      <c r="M24" s="84"/>
      <c r="N24" s="84"/>
      <c r="O24" s="84"/>
      <c r="P24" s="84"/>
      <c r="Q24" s="84"/>
      <c r="R24" s="84"/>
      <c r="S24" s="84"/>
      <c r="T24" s="84"/>
      <c r="U24" s="84"/>
      <c r="V24" s="84"/>
      <c r="W24" s="84"/>
      <c r="X24" s="84"/>
      <c r="Y24" s="84"/>
      <c r="Z24" s="84"/>
    </row>
    <row r="25" spans="1:26" s="144" customFormat="1" ht="34" customHeight="1" x14ac:dyDescent="0.2">
      <c r="A25" s="84"/>
      <c r="B25" s="147" t="s">
        <v>1383</v>
      </c>
      <c r="C25" s="135" t="s">
        <v>1373</v>
      </c>
      <c r="D25" s="196" t="s">
        <v>1365</v>
      </c>
      <c r="E25" s="147" t="s">
        <v>2129</v>
      </c>
      <c r="F25" s="597" t="s">
        <v>1374</v>
      </c>
      <c r="G25" s="602">
        <v>49309</v>
      </c>
      <c r="H25" s="598"/>
      <c r="I25" s="147" t="str">
        <f>Stratgegy_MOE[[#This Row],[Short Name]]&amp;" (Strategic Goal Targeted: "&amp;Stratgegy_MOE[[#This Row],[Strategic Goal Targeted]]&amp;"): "&amp;Stratgegy_MOE[[#This Row],[Description]]&amp;" (Condition Measured: "&amp;Stratgegy_MOE[[#This Row],[Condition Measured]]&amp;"; Date targeted: "&amp;TEXT(Stratgegy_MOE[[#This Row],[Target Date]],"DD-MMM-YYYY")&amp;")"</f>
        <v>Southeast Asian Revenue Generation (Strategic Goal Targeted: Southeast Asian Market Entry): Southeast Asian operations have generated $450M annual revenue compared to baseline of zero in 2026. (Condition Measured: Sustainable Southeast Asian Market Presence Established; Date targeted: 31-Dec-2034)</v>
      </c>
      <c r="J25" s="84"/>
      <c r="K25" s="84"/>
      <c r="L25" s="84"/>
      <c r="M25" s="84"/>
      <c r="N25" s="84"/>
      <c r="O25" s="84"/>
      <c r="P25" s="84"/>
      <c r="Q25" s="84"/>
      <c r="R25" s="84"/>
      <c r="S25" s="84"/>
      <c r="T25" s="84"/>
      <c r="U25" s="84"/>
      <c r="V25" s="84"/>
      <c r="W25" s="84"/>
      <c r="X25" s="84"/>
      <c r="Y25" s="84"/>
      <c r="Z25" s="84"/>
    </row>
    <row r="26" spans="1:26" s="144" customFormat="1" ht="34" customHeight="1" x14ac:dyDescent="0.2">
      <c r="A26" s="84"/>
      <c r="B26" s="142" t="s">
        <v>1384</v>
      </c>
      <c r="C26" s="142" t="s">
        <v>1395</v>
      </c>
      <c r="D26" s="142" t="s">
        <v>1394</v>
      </c>
      <c r="E26" s="142" t="s">
        <v>2129</v>
      </c>
      <c r="F26" s="599" t="s">
        <v>1396</v>
      </c>
      <c r="G26" s="603">
        <v>48579</v>
      </c>
      <c r="H26" s="600"/>
      <c r="I26" s="142" t="str">
        <f>Stratgegy_MOE[[#This Row],[Short Name]]&amp;" (Strategic Goal Targeted: "&amp;Stratgegy_MOE[[#This Row],[Strategic Goal Targeted]]&amp;"): "&amp;Stratgegy_MOE[[#This Row],[Description]]&amp;" (Condition Measured: "&amp;Stratgegy_MOE[[#This Row],[Condition Measured]]&amp;"; Date targeted: "&amp;TEXT(Stratgegy_MOE[[#This Row],[Target Date]],"DD-MMM-YYYY")&amp;")"</f>
        <v>Market Access Barrier Reduction (Strategic Goal Targeted: Market Environment Preparation): Southeast Asian market access timeline from the nation's Request for Proposal (RFP) issuance to final regulatory approval is &lt;150 days, versus the industry average of 180 days. (Condition Measured: Sustainable Southeast Asian Market Presence Established; Date targeted: 31-Dec-2032)</v>
      </c>
      <c r="J26" s="84"/>
      <c r="K26" s="84"/>
      <c r="L26" s="84"/>
      <c r="M26" s="84"/>
      <c r="N26" s="84"/>
      <c r="O26" s="84"/>
      <c r="P26" s="84"/>
      <c r="Q26" s="84"/>
      <c r="R26" s="84"/>
      <c r="S26" s="84"/>
      <c r="T26" s="84"/>
      <c r="U26" s="84"/>
      <c r="V26" s="84"/>
      <c r="W26" s="84"/>
      <c r="X26" s="84"/>
      <c r="Y26" s="84"/>
      <c r="Z26" s="84"/>
    </row>
    <row r="27" spans="1:26" s="144" customFormat="1" ht="34" customHeight="1" x14ac:dyDescent="0.2">
      <c r="A27" s="84"/>
      <c r="B27" s="147" t="s">
        <v>1385</v>
      </c>
      <c r="C27" s="135" t="s">
        <v>1375</v>
      </c>
      <c r="D27" s="142" t="s">
        <v>1367</v>
      </c>
      <c r="E27" s="147" t="s">
        <v>2180</v>
      </c>
      <c r="F27" s="597" t="s">
        <v>1376</v>
      </c>
      <c r="G27" s="602">
        <v>50040</v>
      </c>
      <c r="H27" s="598"/>
      <c r="I27" s="147" t="str">
        <f>Stratgegy_MOE[[#This Row],[Short Name]]&amp;" (Strategic Goal Targeted: "&amp;Stratgegy_MOE[[#This Row],[Strategic Goal Targeted]]&amp;"): "&amp;Stratgegy_MOE[[#This Row],[Description]]&amp;" (Condition Measured: "&amp;Stratgegy_MOE[[#This Row],[Condition Measured]]&amp;"; Date targeted: "&amp;TEXT(Stratgegy_MOE[[#This Row],[Target Date]],"DD-MMM-YYYY")&amp;")"</f>
        <v>Revenue Stream Diversification (Strategic Goal Targeted: Dual-Market Production Capacity): Non-U.S. revenue has reached 40% of total revenue compared to baseline of 15% in 2026. (Condition Measured: Revenue Streams Diversified, Protecting Against Budget Volatility; Date targeted: 31-Dec-2036)</v>
      </c>
      <c r="J27" s="84"/>
      <c r="K27" s="84"/>
      <c r="L27" s="84"/>
      <c r="M27" s="84"/>
      <c r="N27" s="84"/>
      <c r="O27" s="84"/>
      <c r="P27" s="84"/>
      <c r="Q27" s="84"/>
      <c r="R27" s="84"/>
      <c r="S27" s="84"/>
      <c r="T27" s="84"/>
      <c r="U27" s="84"/>
      <c r="V27" s="84"/>
      <c r="W27" s="84"/>
      <c r="X27" s="84"/>
      <c r="Y27" s="84"/>
      <c r="Z27" s="84"/>
    </row>
    <row r="28" spans="1:26" s="144" customFormat="1" x14ac:dyDescent="0.2">
      <c r="A28" s="84"/>
      <c r="B28" s="147"/>
      <c r="C28" s="135"/>
      <c r="D28" s="142"/>
      <c r="E28" s="147"/>
      <c r="F28" s="135"/>
      <c r="G28" s="272"/>
      <c r="I28" s="84"/>
      <c r="J28" s="84"/>
      <c r="K28" s="84"/>
      <c r="L28" s="84"/>
      <c r="M28" s="84"/>
      <c r="N28" s="84"/>
      <c r="O28" s="84"/>
      <c r="P28" s="84"/>
      <c r="Q28" s="84"/>
      <c r="R28" s="84"/>
      <c r="S28" s="84"/>
      <c r="T28" s="84"/>
      <c r="U28" s="84"/>
      <c r="V28" s="84"/>
      <c r="W28" s="84"/>
      <c r="X28" s="84"/>
      <c r="Y28" s="84"/>
    </row>
    <row r="29" spans="1:26" s="144" customFormat="1" x14ac:dyDescent="0.2">
      <c r="A29" s="84"/>
      <c r="B29" s="311" t="s">
        <v>599</v>
      </c>
      <c r="C29" s="311"/>
      <c r="D29" s="311"/>
      <c r="E29" s="320"/>
      <c r="F29" s="311"/>
      <c r="G29" s="324"/>
      <c r="H29" s="324"/>
      <c r="I29" s="226"/>
      <c r="J29" s="84"/>
      <c r="K29" s="84"/>
      <c r="L29" s="84"/>
      <c r="M29" s="84"/>
      <c r="N29" s="84"/>
      <c r="O29" s="84"/>
      <c r="P29" s="84"/>
      <c r="Q29" s="84"/>
      <c r="R29" s="84"/>
      <c r="S29" s="84"/>
      <c r="T29" s="84"/>
      <c r="U29" s="84"/>
      <c r="V29" s="84"/>
      <c r="W29" s="84"/>
      <c r="X29" s="84"/>
      <c r="Y29" s="84"/>
    </row>
    <row r="30" spans="1:26" s="144" customFormat="1" x14ac:dyDescent="0.2">
      <c r="A30" s="84"/>
      <c r="B30" s="322" t="s">
        <v>40</v>
      </c>
      <c r="C30" s="144" t="s">
        <v>1703</v>
      </c>
      <c r="D30" s="219" t="s">
        <v>128</v>
      </c>
      <c r="E30" s="219" t="s">
        <v>1409</v>
      </c>
      <c r="F30" s="219" t="s">
        <v>172</v>
      </c>
      <c r="G30" s="265" t="s">
        <v>595</v>
      </c>
      <c r="H30" s="331" t="s">
        <v>1702</v>
      </c>
      <c r="I30" s="345" t="s">
        <v>174</v>
      </c>
      <c r="J30" s="84"/>
      <c r="K30" s="84"/>
      <c r="L30" s="84"/>
      <c r="M30" s="84"/>
      <c r="N30" s="84"/>
      <c r="O30" s="84"/>
      <c r="P30" s="84"/>
      <c r="Q30" s="84"/>
      <c r="R30" s="84"/>
      <c r="S30" s="84"/>
      <c r="T30" s="84"/>
      <c r="U30" s="84"/>
      <c r="V30" s="84"/>
      <c r="W30" s="84"/>
      <c r="X30" s="84"/>
      <c r="Y30" s="84"/>
    </row>
    <row r="31" spans="1:26" s="144" customFormat="1" ht="34" customHeight="1" x14ac:dyDescent="0.2">
      <c r="A31" s="84"/>
      <c r="B31" s="330" t="s">
        <v>1985</v>
      </c>
      <c r="C31" s="176" t="s">
        <v>1427</v>
      </c>
      <c r="D31" s="147" t="s">
        <v>340</v>
      </c>
      <c r="E31" s="195" t="s">
        <v>1366</v>
      </c>
      <c r="F31" s="176" t="s">
        <v>1417</v>
      </c>
      <c r="G31" s="197">
        <v>48760</v>
      </c>
      <c r="H31" s="334">
        <f>SUMIFS(Stratgegy_OBJ_2[Cost],Stratgegy_OBJ_2[Objective Targeted],Stratgegy_OBJ[[#This Row],[Short Name]])</f>
        <v>100000000</v>
      </c>
      <c r="I31" s="195" t="str">
        <f>Stratgegy_OBJ[[#This Row],[Short Name]]&amp;" ("&amp;Stratgegy_OBJ[[#This Row],[Type]]&amp;"): "&amp;Stratgegy_OBJ[[#This Row],[Description]]&amp;" (Strategic Goal targeted: "&amp;Stratgegy_OBJ[[#This Row],[Strategic Goal Targeted]]&amp;"; Date targeted: "&amp;TEXT(Stratgegy_OBJ[[#This Row],[Target Date]],"DD-MMM-YYYY")&amp;"; Cost: "&amp;TEXT(Stratgegy_OBJ[[#This Row],[Cost]],"$#,##0")&amp;")"</f>
        <v>Deploy Next-Generation Vehicle (Main): Deploy advanced vehicle variant establishing technological superiority that supports U.S. DoD contract retention and market share maintenance. (Strategic Goal targeted: U.S. DoD Dominance Retention; Date targeted: 30-Jun-2033; Cost: $100,000,000)</v>
      </c>
      <c r="J31" s="84"/>
      <c r="K31" s="84"/>
      <c r="L31" s="84"/>
      <c r="M31" s="84"/>
      <c r="N31" s="84"/>
      <c r="O31" s="84"/>
      <c r="P31" s="84"/>
      <c r="Q31" s="84"/>
      <c r="R31" s="84"/>
      <c r="S31" s="84"/>
      <c r="T31" s="84"/>
      <c r="U31" s="84"/>
      <c r="V31" s="84"/>
      <c r="W31" s="84"/>
      <c r="X31" s="84"/>
      <c r="Y31" s="84"/>
    </row>
    <row r="32" spans="1:26" s="144" customFormat="1" ht="34" customHeight="1" x14ac:dyDescent="0.2">
      <c r="A32" s="84"/>
      <c r="B32" s="330" t="s">
        <v>1986</v>
      </c>
      <c r="C32" s="147" t="s">
        <v>1411</v>
      </c>
      <c r="D32" s="147" t="s">
        <v>340</v>
      </c>
      <c r="E32" s="195" t="s">
        <v>1366</v>
      </c>
      <c r="F32" s="147" t="s">
        <v>1464</v>
      </c>
      <c r="G32" s="197">
        <v>48944</v>
      </c>
      <c r="H32" s="334">
        <f>SUMIFS(Stratgegy_OBJ_2[Cost],Stratgegy_OBJ_2[Objective Targeted],Stratgegy_OBJ[[#This Row],[Short Name]])</f>
        <v>4000000</v>
      </c>
      <c r="I32" s="195" t="str">
        <f>Stratgegy_OBJ[[#This Row],[Short Name]]&amp;" ("&amp;Stratgegy_OBJ[[#This Row],[Type]]&amp;"): "&amp;Stratgegy_OBJ[[#This Row],[Description]]&amp;" (Strategic Goal targeted: "&amp;Stratgegy_OBJ[[#This Row],[Strategic Goal Targeted]]&amp;"; Date targeted: "&amp;TEXT(Stratgegy_OBJ[[#This Row],[Target Date]],"DD-MMM-YYYY")&amp;"; Cost: "&amp;TEXT(Stratgegy_OBJ[[#This Row],[Cost]],"$#,##0")&amp;")"</f>
        <v>Maintain Made-in America Brand (Main): Maintain American craftsmanship brand by using U.S. labor and materials that supports U.S. DoD dominance retention through contract preference. (Strategic Goal targeted: U.S. DoD Dominance Retention; Date targeted: 31-Dec-2033; Cost: $4,000,000)</v>
      </c>
      <c r="J32" s="84"/>
      <c r="K32" s="84"/>
      <c r="L32" s="84"/>
      <c r="M32" s="84"/>
      <c r="N32" s="84"/>
      <c r="O32" s="84"/>
      <c r="P32" s="84"/>
      <c r="Q32" s="84"/>
      <c r="R32" s="84"/>
      <c r="S32" s="84"/>
      <c r="T32" s="84"/>
      <c r="U32" s="84"/>
      <c r="V32" s="84"/>
      <c r="W32" s="84"/>
      <c r="X32" s="84"/>
      <c r="Y32" s="84"/>
    </row>
    <row r="33" spans="1:26" s="144" customFormat="1" ht="34" customHeight="1" x14ac:dyDescent="0.2">
      <c r="A33" s="84"/>
      <c r="B33" s="330" t="s">
        <v>1987</v>
      </c>
      <c r="C33" s="147" t="s">
        <v>2184</v>
      </c>
      <c r="D33" s="147" t="s">
        <v>343</v>
      </c>
      <c r="E33" s="147" t="s">
        <v>1366</v>
      </c>
      <c r="F33" s="147" t="s">
        <v>1618</v>
      </c>
      <c r="G33" s="197">
        <v>47848</v>
      </c>
      <c r="H33" s="334">
        <f>SUMIFS(Stratgegy_OBJ_2[Cost],Stratgegy_OBJ_2[Objective Targeted],Stratgegy_OBJ[[#This Row],[Short Name]])</f>
        <v>12500000</v>
      </c>
      <c r="I33" s="195" t="str">
        <f>Stratgegy_OBJ[[#This Row],[Short Name]]&amp;" ("&amp;Stratgegy_OBJ[[#This Row],[Type]]&amp;"): "&amp;Stratgegy_OBJ[[#This Row],[Description]]&amp;" (Strategic Goal targeted: "&amp;Stratgegy_OBJ[[#This Row],[Strategic Goal Targeted]]&amp;"; Date targeted: "&amp;TEXT(Stratgegy_OBJ[[#This Row],[Target Date]],"DD-MMM-YYYY")&amp;"; Cost: "&amp;TEXT(Stratgegy_OBJ[[#This Row],[Cost]],"$#,##0")&amp;")"</f>
        <v>Construct Advanced Cyber Protection Infrastructure (Supporting): Implement sophisticated defenses protecting proprietary technologies from nation-state threats supporting technological leadership retention. (Strategic Goal targeted: U.S. DoD Dominance Retention; Date targeted: 31-Dec-2030; Cost: $12,500,000)</v>
      </c>
      <c r="J33" s="84"/>
      <c r="K33" s="84"/>
      <c r="L33" s="84"/>
      <c r="M33" s="84"/>
      <c r="N33" s="84"/>
      <c r="O33" s="84"/>
      <c r="P33" s="84"/>
      <c r="Q33" s="84"/>
      <c r="R33" s="84"/>
      <c r="S33" s="84"/>
      <c r="T33" s="84"/>
      <c r="U33" s="84"/>
      <c r="V33" s="84"/>
      <c r="W33" s="84"/>
      <c r="X33" s="84"/>
      <c r="Y33" s="84"/>
    </row>
    <row r="34" spans="1:26" s="144" customFormat="1" ht="34" customHeight="1" x14ac:dyDescent="0.2">
      <c r="A34" s="84"/>
      <c r="B34" s="330" t="s">
        <v>1988</v>
      </c>
      <c r="C34" s="176" t="s">
        <v>1410</v>
      </c>
      <c r="D34" s="147" t="s">
        <v>340</v>
      </c>
      <c r="E34" s="195" t="s">
        <v>1365</v>
      </c>
      <c r="F34" s="176" t="s">
        <v>1465</v>
      </c>
      <c r="G34" s="197">
        <v>48944</v>
      </c>
      <c r="H34" s="334">
        <f>SUMIFS(Stratgegy_OBJ_2[Cost],Stratgegy_OBJ_2[Objective Targeted],Stratgegy_OBJ[[#This Row],[Short Name]])</f>
        <v>56000000</v>
      </c>
      <c r="I34" s="195" t="str">
        <f>Stratgegy_OBJ[[#This Row],[Short Name]]&amp;" ("&amp;Stratgegy_OBJ[[#This Row],[Type]]&amp;"): "&amp;Stratgegy_OBJ[[#This Row],[Description]]&amp;" (Strategic Goal targeted: "&amp;Stratgegy_OBJ[[#This Row],[Strategic Goal Targeted]]&amp;"; Date targeted: "&amp;TEXT(Stratgegy_OBJ[[#This Row],[Target Date]],"DD-MMM-YYYY")&amp;"; Cost: "&amp;TEXT(Stratgegy_OBJ[[#This Row],[Cost]],"$#,##0")&amp;")"</f>
        <v>Build Partnership Network (Main): Build a partnership network that creates market access to develop contracts and joint ventures that support a sustainable Southeast Asian market presence. (Strategic Goal targeted: Southeast Asian Market Entry; Date targeted: 31-Dec-2033; Cost: $56,000,000)</v>
      </c>
      <c r="J34" s="84"/>
      <c r="K34" s="84"/>
      <c r="L34" s="84"/>
      <c r="M34" s="84"/>
      <c r="N34" s="84"/>
      <c r="O34" s="84"/>
      <c r="P34" s="84"/>
      <c r="Q34" s="84"/>
      <c r="R34" s="84"/>
      <c r="S34" s="84"/>
      <c r="T34" s="84"/>
      <c r="U34" s="84"/>
      <c r="V34" s="84"/>
      <c r="W34" s="84"/>
      <c r="X34" s="84"/>
      <c r="Y34" s="84"/>
    </row>
    <row r="35" spans="1:26" s="144" customFormat="1" ht="34" customHeight="1" x14ac:dyDescent="0.2">
      <c r="A35" s="84"/>
      <c r="B35" s="330" t="s">
        <v>1989</v>
      </c>
      <c r="C35" s="176" t="s">
        <v>1413</v>
      </c>
      <c r="D35" s="147" t="s">
        <v>340</v>
      </c>
      <c r="E35" s="195" t="s">
        <v>1365</v>
      </c>
      <c r="F35" s="176" t="s">
        <v>1418</v>
      </c>
      <c r="G35" s="197">
        <v>48944</v>
      </c>
      <c r="H35" s="334">
        <f>SUMIFS(Stratgegy_OBJ_2[Cost],Stratgegy_OBJ_2[Objective Targeted],Stratgegy_OBJ[[#This Row],[Short Name]])</f>
        <v>62500000</v>
      </c>
      <c r="I35" s="195" t="str">
        <f>Stratgegy_OBJ[[#This Row],[Short Name]]&amp;" ("&amp;Stratgegy_OBJ[[#This Row],[Type]]&amp;"): "&amp;Stratgegy_OBJ[[#This Row],[Description]]&amp;" (Strategic Goal targeted: "&amp;Stratgegy_OBJ[[#This Row],[Strategic Goal Targeted]]&amp;"; Date targeted: "&amp;TEXT(Stratgegy_OBJ[[#This Row],[Target Date]],"DD-MMM-YYYY")&amp;"; Cost: "&amp;TEXT(Stratgegy_OBJ[[#This Row],[Cost]],"$#,##0")&amp;")"</f>
        <v>Deploy Climate-Adapted Vehicle (Main): Deploy tropical-capable vehicles demonstrating regional performance that supports sustainable Southeast Asian market presence through credibility and supplier status. (Strategic Goal targeted: Southeast Asian Market Entry; Date targeted: 31-Dec-2033; Cost: $62,500,000)</v>
      </c>
      <c r="J35" s="84"/>
      <c r="K35" s="84"/>
      <c r="L35" s="84"/>
      <c r="M35" s="84"/>
      <c r="N35" s="84"/>
      <c r="O35" s="84"/>
      <c r="P35" s="84"/>
      <c r="Q35" s="84"/>
      <c r="R35" s="84"/>
      <c r="S35" s="84"/>
      <c r="T35" s="84"/>
      <c r="U35" s="84"/>
      <c r="V35" s="84"/>
      <c r="W35" s="84"/>
      <c r="X35" s="84"/>
      <c r="Y35" s="84"/>
    </row>
    <row r="36" spans="1:26" s="144" customFormat="1" ht="34" customHeight="1" x14ac:dyDescent="0.2">
      <c r="A36" s="84"/>
      <c r="B36" s="330" t="s">
        <v>1990</v>
      </c>
      <c r="C36" s="147" t="s">
        <v>1415</v>
      </c>
      <c r="D36" s="147" t="s">
        <v>343</v>
      </c>
      <c r="E36" s="195" t="s">
        <v>1365</v>
      </c>
      <c r="F36" s="147" t="s">
        <v>1421</v>
      </c>
      <c r="G36" s="197">
        <v>47118</v>
      </c>
      <c r="H36" s="334">
        <f>SUMIFS(Stratgegy_OBJ_2[Cost],Stratgegy_OBJ_2[Objective Targeted],Stratgegy_OBJ[[#This Row],[Short Name]])</f>
        <v>7000000</v>
      </c>
      <c r="I36" s="195" t="str">
        <f>Stratgegy_OBJ[[#This Row],[Short Name]]&amp;" ("&amp;Stratgegy_OBJ[[#This Row],[Type]]&amp;"): "&amp;Stratgegy_OBJ[[#This Row],[Description]]&amp;" (Strategic Goal targeted: "&amp;Stratgegy_OBJ[[#This Row],[Strategic Goal Targeted]]&amp;"; Date targeted: "&amp;TEXT(Stratgegy_OBJ[[#This Row],[Target Date]],"DD-MMM-YYYY")&amp;"; Cost: "&amp;TEXT(Stratgegy_OBJ[[#This Row],[Cost]],"$#,##0")&amp;")"</f>
        <v>Establish Southeast Asian Division (Supporting): Establish regional division establishing partnership development capability that supports sustainable Southeast Asian market presence through relationship building and customer engagement. (Strategic Goal targeted: Southeast Asian Market Entry; Date targeted: 31-Dec-2028; Cost: $7,000,000)</v>
      </c>
      <c r="J36" s="84"/>
      <c r="K36" s="84"/>
      <c r="L36" s="84"/>
      <c r="M36" s="84"/>
      <c r="N36" s="84"/>
      <c r="O36" s="84"/>
      <c r="P36" s="84"/>
      <c r="Q36" s="84"/>
      <c r="R36" s="84"/>
      <c r="S36" s="84"/>
      <c r="T36" s="84"/>
      <c r="U36" s="84"/>
      <c r="V36" s="84"/>
      <c r="W36" s="84"/>
      <c r="X36" s="84"/>
      <c r="Y36" s="84"/>
    </row>
    <row r="37" spans="1:26" s="144" customFormat="1" ht="34" customHeight="1" x14ac:dyDescent="0.2">
      <c r="A37" s="84"/>
      <c r="B37" s="330" t="s">
        <v>1991</v>
      </c>
      <c r="C37" s="147" t="s">
        <v>1423</v>
      </c>
      <c r="D37" s="147" t="s">
        <v>340</v>
      </c>
      <c r="E37" s="195" t="s">
        <v>1394</v>
      </c>
      <c r="F37" s="147" t="s">
        <v>1419</v>
      </c>
      <c r="G37" s="197">
        <v>47848</v>
      </c>
      <c r="H37" s="334">
        <f>SUMIFS(Stratgegy_OBJ_2[Cost],Stratgegy_OBJ_2[Objective Targeted],Stratgegy_OBJ[[#This Row],[Short Name]])</f>
        <v>4500000</v>
      </c>
      <c r="I37" s="195" t="str">
        <f>Stratgegy_OBJ[[#This Row],[Short Name]]&amp;" ("&amp;Stratgegy_OBJ[[#This Row],[Type]]&amp;"): "&amp;Stratgegy_OBJ[[#This Row],[Description]]&amp;" (Strategic Goal targeted: "&amp;Stratgegy_OBJ[[#This Row],[Strategic Goal Targeted]]&amp;"; Date targeted: "&amp;TEXT(Stratgegy_OBJ[[#This Row],[Target Date]],"DD-MMM-YYYY")&amp;"; Cost: "&amp;TEXT(Stratgegy_OBJ[[#This Row],[Cost]],"$#,##0")&amp;")"</f>
        <v>Secure Favorable Regulatory Environment (Main): Secure expedited regulatory approvals reducing timeline barriers that supports sustainable Southeast Asian market presence through accelerated access. (Strategic Goal targeted: Market Environment Preparation; Date targeted: 31-Dec-2030; Cost: $4,500,000)</v>
      </c>
      <c r="J37" s="84"/>
      <c r="K37" s="84"/>
      <c r="L37" s="84"/>
      <c r="M37" s="84"/>
      <c r="N37" s="84"/>
      <c r="O37" s="84"/>
      <c r="P37" s="84"/>
      <c r="Q37" s="84"/>
      <c r="R37" s="84"/>
      <c r="S37" s="84"/>
      <c r="T37" s="84"/>
      <c r="U37" s="84"/>
      <c r="V37" s="84"/>
      <c r="W37" s="84"/>
      <c r="X37" s="84"/>
      <c r="Y37" s="84"/>
    </row>
    <row r="38" spans="1:26" s="144" customFormat="1" ht="34" customHeight="1" x14ac:dyDescent="0.2">
      <c r="A38" s="84"/>
      <c r="B38" s="330" t="s">
        <v>1992</v>
      </c>
      <c r="C38" s="147" t="s">
        <v>1414</v>
      </c>
      <c r="D38" s="147" t="s">
        <v>340</v>
      </c>
      <c r="E38" s="147" t="s">
        <v>1394</v>
      </c>
      <c r="F38" s="147" t="s">
        <v>1420</v>
      </c>
      <c r="G38" s="197">
        <v>47664</v>
      </c>
      <c r="H38" s="334">
        <f>SUMIFS(Stratgegy_OBJ_2[Cost],Stratgegy_OBJ_2[Objective Targeted],Stratgegy_OBJ[[#This Row],[Short Name]])</f>
        <v>3000000</v>
      </c>
      <c r="I38" s="195" t="str">
        <f>Stratgegy_OBJ[[#This Row],[Short Name]]&amp;" ("&amp;Stratgegy_OBJ[[#This Row],[Type]]&amp;"): "&amp;Stratgegy_OBJ[[#This Row],[Description]]&amp;" (Strategic Goal targeted: "&amp;Stratgegy_OBJ[[#This Row],[Strategic Goal Targeted]]&amp;"; Date targeted: "&amp;TEXT(Stratgegy_OBJ[[#This Row],[Target Date]],"DD-MMM-YYYY")&amp;"; Cost: "&amp;TEXT(Stratgegy_OBJ[[#This Row],[Cost]],"$#,##0")&amp;")"</f>
        <v>Gain U.S. Military Advocacy (Main): Gain U.S. military advocacy securing FMS/DCS support that supports sustainable Southeast Asian market presence through security cooperation facilitation. (Strategic Goal targeted: Market Environment Preparation; Date targeted: 30-Jun-2030; Cost: $3,000,000)</v>
      </c>
      <c r="J38" s="84"/>
      <c r="K38" s="84"/>
      <c r="L38" s="84"/>
      <c r="M38" s="84"/>
      <c r="N38" s="84"/>
      <c r="O38" s="84"/>
      <c r="P38" s="84"/>
      <c r="Q38" s="84"/>
      <c r="R38" s="84"/>
      <c r="S38" s="84"/>
      <c r="T38" s="84"/>
      <c r="U38" s="84"/>
      <c r="V38" s="84"/>
      <c r="W38" s="84"/>
      <c r="X38" s="84"/>
      <c r="Y38" s="84"/>
    </row>
    <row r="39" spans="1:26" s="144" customFormat="1" ht="34" customHeight="1" x14ac:dyDescent="0.2">
      <c r="A39" s="84"/>
      <c r="B39" s="330" t="s">
        <v>1993</v>
      </c>
      <c r="C39" s="147" t="s">
        <v>1416</v>
      </c>
      <c r="D39" s="147" t="s">
        <v>343</v>
      </c>
      <c r="E39" s="195" t="s">
        <v>1394</v>
      </c>
      <c r="F39" s="147" t="s">
        <v>1422</v>
      </c>
      <c r="G39" s="273">
        <v>47118</v>
      </c>
      <c r="H39" s="334">
        <f>SUMIFS(Stratgegy_OBJ_2[Cost],Stratgegy_OBJ_2[Objective Targeted],Stratgegy_OBJ[[#This Row],[Short Name]])</f>
        <v>2500000</v>
      </c>
      <c r="I39" s="195" t="str">
        <f>Stratgegy_OBJ[[#This Row],[Short Name]]&amp;" ("&amp;Stratgegy_OBJ[[#This Row],[Type]]&amp;"): "&amp;Stratgegy_OBJ[[#This Row],[Description]]&amp;" (Strategic Goal targeted: "&amp;Stratgegy_OBJ[[#This Row],[Strategic Goal Targeted]]&amp;"; Date targeted: "&amp;TEXT(Stratgegy_OBJ[[#This Row],[Target Date]],"DD-MMM-YYYY")&amp;"; Cost: "&amp;TEXT(Stratgegy_OBJ[[#This Row],[Cost]],"$#,##0")&amp;")"</f>
        <v>Establish Export Compliance Office (Supporting): Establish compliance office managing ITAR/FMS/FCPA requirements that supports sustainable Southeast Asian market presence through regulatory navigation and expedited approvals. (Strategic Goal targeted: Market Environment Preparation; Date targeted: 31-Dec-2028; Cost: $2,500,000)</v>
      </c>
      <c r="J39" s="84"/>
      <c r="K39" s="84"/>
      <c r="L39" s="84"/>
      <c r="M39" s="84"/>
      <c r="N39" s="84"/>
      <c r="O39" s="84"/>
      <c r="P39" s="84"/>
      <c r="Q39" s="84"/>
      <c r="R39" s="84"/>
      <c r="S39" s="84"/>
      <c r="T39" s="84"/>
      <c r="U39" s="84"/>
      <c r="V39" s="84"/>
      <c r="W39" s="84"/>
      <c r="X39" s="84"/>
      <c r="Y39" s="84"/>
    </row>
    <row r="40" spans="1:26" s="144" customFormat="1" ht="34" customHeight="1" x14ac:dyDescent="0.2">
      <c r="A40" s="84"/>
      <c r="B40" s="330" t="s">
        <v>1994</v>
      </c>
      <c r="C40" s="147" t="s">
        <v>1412</v>
      </c>
      <c r="D40" s="147" t="s">
        <v>340</v>
      </c>
      <c r="E40" s="147" t="s">
        <v>1367</v>
      </c>
      <c r="F40" s="147" t="s">
        <v>1424</v>
      </c>
      <c r="G40" s="197">
        <v>48579</v>
      </c>
      <c r="H40" s="334">
        <f>SUMIFS(Stratgegy_OBJ_2[Cost],Stratgegy_OBJ_2[Objective Targeted],Stratgegy_OBJ[[#This Row],[Short Name]])</f>
        <v>178000000</v>
      </c>
      <c r="I40" s="195" t="str">
        <f>Stratgegy_OBJ[[#This Row],[Short Name]]&amp;" ("&amp;Stratgegy_OBJ[[#This Row],[Type]]&amp;"): "&amp;Stratgegy_OBJ[[#This Row],[Description]]&amp;" (Strategic Goal targeted: "&amp;Stratgegy_OBJ[[#This Row],[Strategic Goal Targeted]]&amp;"; Date targeted: "&amp;TEXT(Stratgegy_OBJ[[#This Row],[Target Date]],"DD-MMM-YYYY")&amp;"; Cost: "&amp;TEXT(Stratgegy_OBJ[[#This Row],[Cost]],"$#,##0")&amp;")"</f>
        <v>Automate Production Systems (Main): Automate manufacturing enabling multi-market production that supports revenue diversification by enabling dual-market fulfillment capacity. (Strategic Goal targeted: Dual-Market Production Capacity; Date targeted: 31-Dec-2032; Cost: $178,000,000)</v>
      </c>
      <c r="J40" s="84"/>
      <c r="K40" s="84"/>
      <c r="L40" s="84"/>
      <c r="M40" s="84"/>
      <c r="N40" s="84"/>
      <c r="O40" s="84"/>
      <c r="P40" s="84"/>
      <c r="Q40" s="84"/>
      <c r="R40" s="84"/>
      <c r="S40" s="84"/>
      <c r="T40" s="84"/>
      <c r="U40" s="84"/>
      <c r="V40" s="84"/>
      <c r="W40" s="84"/>
      <c r="X40" s="84"/>
      <c r="Y40" s="84"/>
    </row>
    <row r="41" spans="1:26" s="144" customFormat="1" x14ac:dyDescent="0.2">
      <c r="A41" s="84"/>
      <c r="B41" s="172"/>
      <c r="C41" s="172"/>
      <c r="D41" s="172"/>
      <c r="E41" s="91"/>
      <c r="F41" s="172"/>
      <c r="G41" s="285"/>
      <c r="I41" s="84"/>
      <c r="J41" s="84"/>
      <c r="K41" s="84"/>
      <c r="L41" s="84"/>
      <c r="M41" s="84"/>
      <c r="N41" s="84"/>
      <c r="O41" s="84"/>
      <c r="P41" s="84"/>
      <c r="Q41" s="84"/>
      <c r="R41" s="84"/>
      <c r="S41" s="84"/>
      <c r="T41" s="84"/>
      <c r="U41" s="84"/>
      <c r="V41" s="84"/>
      <c r="W41" s="84"/>
      <c r="X41" s="84"/>
      <c r="Y41" s="84"/>
    </row>
    <row r="42" spans="1:26" s="144" customFormat="1" x14ac:dyDescent="0.2">
      <c r="A42" s="84"/>
      <c r="B42" s="311" t="s">
        <v>1406</v>
      </c>
      <c r="C42" s="311"/>
      <c r="D42" s="311"/>
      <c r="E42" s="320"/>
      <c r="F42" s="311"/>
      <c r="G42" s="324"/>
      <c r="H42" s="324"/>
      <c r="I42" s="226"/>
      <c r="J42" s="84"/>
      <c r="K42" s="84"/>
      <c r="L42" s="84"/>
      <c r="M42" s="84"/>
      <c r="N42" s="84"/>
      <c r="O42" s="84"/>
      <c r="P42" s="84"/>
      <c r="Q42" s="84"/>
      <c r="R42" s="84"/>
      <c r="S42" s="84"/>
      <c r="T42" s="84"/>
      <c r="U42" s="84"/>
      <c r="V42" s="84"/>
      <c r="W42" s="84"/>
      <c r="X42" s="84"/>
      <c r="Y42" s="84"/>
    </row>
    <row r="43" spans="1:26" s="144" customFormat="1" x14ac:dyDescent="0.2">
      <c r="A43" s="84"/>
      <c r="B43" s="322" t="s">
        <v>40</v>
      </c>
      <c r="C43" s="144" t="s">
        <v>1703</v>
      </c>
      <c r="D43" s="219" t="s">
        <v>128</v>
      </c>
      <c r="E43" s="219" t="s">
        <v>1408</v>
      </c>
      <c r="F43" s="219" t="s">
        <v>172</v>
      </c>
      <c r="G43" s="265" t="s">
        <v>595</v>
      </c>
      <c r="H43" s="344" t="s">
        <v>2085</v>
      </c>
      <c r="I43" s="345" t="s">
        <v>174</v>
      </c>
      <c r="J43" s="84"/>
      <c r="K43" s="84"/>
      <c r="L43" s="84"/>
      <c r="M43" s="84"/>
      <c r="N43" s="84"/>
      <c r="O43" s="84"/>
      <c r="P43" s="84"/>
      <c r="Q43" s="84"/>
      <c r="R43" s="84"/>
      <c r="S43" s="84"/>
      <c r="T43" s="84"/>
      <c r="U43" s="84"/>
      <c r="V43" s="84"/>
      <c r="W43" s="84"/>
      <c r="X43" s="84"/>
      <c r="Y43" s="84"/>
      <c r="Z43" s="84"/>
    </row>
    <row r="44" spans="1:26" ht="34" customHeight="1" x14ac:dyDescent="0.2">
      <c r="A44" s="325"/>
      <c r="B44" s="147" t="s">
        <v>1381</v>
      </c>
      <c r="C44" s="147" t="s">
        <v>1429</v>
      </c>
      <c r="D44" s="142" t="s">
        <v>1426</v>
      </c>
      <c r="E44" s="195" t="s">
        <v>1413</v>
      </c>
      <c r="F44" s="147" t="s">
        <v>1473</v>
      </c>
      <c r="G44" s="273">
        <v>48760</v>
      </c>
      <c r="H44" s="336"/>
      <c r="I44" s="195" t="str">
        <f>Stratgegy_OKRKPI[[#This Row],[Short Name]]&amp;" ("&amp;Stratgegy_OKRKPI[[#This Row],[Type]]&amp;"): "&amp;Stratgegy_OKRKPI[[#This Row],[Description]]&amp;" (Objective Measured: "&amp;Stratgegy_OKRKPI[[#This Row],[Objective Measured]]&amp;"; Date targeted / Frequency: "&amp;TEXT(Stratgegy_OKRKPI[[#This Row],[Target Date]],"DD-MMM-YYYY")&amp;")"</f>
        <v>Climate Vehicle Deployment (KR): Climate-adapted vehicle deployment as measured by tropical-variant deliveries increasing from zero to 150 vehicles. (Objective Measured: Deploy Climate-Adapted Vehicle; Date targeted / Frequency: 30-Jun-2033)</v>
      </c>
    </row>
    <row r="45" spans="1:26" ht="34" customHeight="1" x14ac:dyDescent="0.2">
      <c r="A45" s="325"/>
      <c r="B45" s="147" t="s">
        <v>1382</v>
      </c>
      <c r="C45" s="147" t="s">
        <v>1441</v>
      </c>
      <c r="D45" s="142" t="s">
        <v>183</v>
      </c>
      <c r="E45" s="195" t="s">
        <v>1413</v>
      </c>
      <c r="F45" s="147" t="s">
        <v>1474</v>
      </c>
      <c r="G45" s="273" t="s">
        <v>1436</v>
      </c>
      <c r="H45" s="336"/>
      <c r="I45" s="195" t="str">
        <f>Stratgegy_OKRKPI[[#This Row],[Short Name]]&amp;" ("&amp;Stratgegy_OKRKPI[[#This Row],[Type]]&amp;"): "&amp;Stratgegy_OKRKPI[[#This Row],[Description]]&amp;" (Objective Measured: "&amp;Stratgegy_OKRKPI[[#This Row],[Objective Measured]]&amp;"; Date targeted / Frequency: "&amp;TEXT(Stratgegy_OKRKPI[[#This Row],[Target Date]],"DD-MMM-YYYY")&amp;")"</f>
        <v>Tropical Vehicle Performance (KPI): Vehicle performance as measured by tropical-climate operational readiness rate maintaining 95% or higher. (Objective Measured: Deploy Climate-Adapted Vehicle; Date targeted / Frequency: Quarterly)</v>
      </c>
    </row>
    <row r="46" spans="1:26" ht="34" customHeight="1" x14ac:dyDescent="0.2">
      <c r="A46" s="325"/>
      <c r="B46" s="147" t="s">
        <v>1383</v>
      </c>
      <c r="C46" s="147" t="s">
        <v>1425</v>
      </c>
      <c r="D46" s="142" t="s">
        <v>1426</v>
      </c>
      <c r="E46" s="195" t="s">
        <v>1427</v>
      </c>
      <c r="F46" s="147" t="s">
        <v>1475</v>
      </c>
      <c r="G46" s="197">
        <v>48944</v>
      </c>
      <c r="H46" s="272"/>
      <c r="I46" s="195" t="str">
        <f>Stratgegy_OKRKPI[[#This Row],[Short Name]]&amp;" ("&amp;Stratgegy_OKRKPI[[#This Row],[Type]]&amp;"): "&amp;Stratgegy_OKRKPI[[#This Row],[Description]]&amp;" (Objective Measured: "&amp;Stratgegy_OKRKPI[[#This Row],[Objective Measured]]&amp;"; Date targeted / Frequency: "&amp;TEXT(Stratgegy_OKRKPI[[#This Row],[Target Date]],"DD-MMM-YYYY")&amp;")"</f>
        <v>Next-Gen Vehicle Deployment (KR): Next-gen vehicle deployment as measured by operational U.S. DoD contract awards increasing from zero to three. (Objective Measured: Deploy Next-Generation Vehicle; Date targeted / Frequency: 31-Dec-2033)</v>
      </c>
    </row>
    <row r="47" spans="1:26" ht="34" customHeight="1" x14ac:dyDescent="0.2">
      <c r="A47" s="325"/>
      <c r="B47" s="147" t="s">
        <v>1384</v>
      </c>
      <c r="C47" s="147" t="s">
        <v>1435</v>
      </c>
      <c r="D47" s="142" t="s">
        <v>183</v>
      </c>
      <c r="E47" s="195" t="s">
        <v>1411</v>
      </c>
      <c r="F47" s="147" t="s">
        <v>1482</v>
      </c>
      <c r="G47" s="273" t="s">
        <v>1436</v>
      </c>
      <c r="H47" s="336"/>
      <c r="I47" s="195" t="str">
        <f>Stratgegy_OKRKPI[[#This Row],[Short Name]]&amp;" ("&amp;Stratgegy_OKRKPI[[#This Row],[Type]]&amp;"): "&amp;Stratgegy_OKRKPI[[#This Row],[Description]]&amp;" (Objective Measured: "&amp;Stratgegy_OKRKPI[[#This Row],[Objective Measured]]&amp;"; Date targeted / Frequency: "&amp;TEXT(Stratgegy_OKRKPI[[#This Row],[Target Date]],"DD-MMM-YYYY")&amp;")"</f>
        <v>U.S. DoD Contract Retention (KPI): Contract retention as measured by U.S. DoD renewal rate maintaining 90% compared to 85% baseline. (Objective Measured: Maintain Made-in America Brand; Date targeted / Frequency: Quarterly)</v>
      </c>
    </row>
    <row r="48" spans="1:26" ht="34" customHeight="1" x14ac:dyDescent="0.2">
      <c r="A48" s="325"/>
      <c r="B48" s="147" t="s">
        <v>1385</v>
      </c>
      <c r="C48" s="147" t="s">
        <v>1428</v>
      </c>
      <c r="D48" s="147" t="s">
        <v>1426</v>
      </c>
      <c r="E48" s="195" t="s">
        <v>1410</v>
      </c>
      <c r="F48" s="147" t="s">
        <v>1470</v>
      </c>
      <c r="G48" s="273">
        <v>48579</v>
      </c>
      <c r="H48" s="336"/>
      <c r="I48" s="195" t="str">
        <f>Stratgegy_OKRKPI[[#This Row],[Short Name]]&amp;" ("&amp;Stratgegy_OKRKPI[[#This Row],[Type]]&amp;"): "&amp;Stratgegy_OKRKPI[[#This Row],[Description]]&amp;" (Objective Measured: "&amp;Stratgegy_OKRKPI[[#This Row],[Objective Measured]]&amp;"; Date targeted / Frequency: "&amp;TEXT(Stratgegy_OKRKPI[[#This Row],[Target Date]],"DD-MMM-YYYY")&amp;")"</f>
        <v>Partnership Network Establishment (KR): Partnership network as measured by signed Southeast Asian government agreements increasing from zero to four partnerships. (Objective Measured: Build Partnership Network; Date targeted / Frequency: 31-Dec-2032)</v>
      </c>
    </row>
    <row r="49" spans="1:9" ht="34" customHeight="1" x14ac:dyDescent="0.2">
      <c r="A49" s="325"/>
      <c r="B49" s="147" t="s">
        <v>1448</v>
      </c>
      <c r="C49" s="147" t="s">
        <v>1373</v>
      </c>
      <c r="D49" s="147" t="s">
        <v>1426</v>
      </c>
      <c r="E49" s="195" t="s">
        <v>1410</v>
      </c>
      <c r="F49" s="147" t="s">
        <v>1471</v>
      </c>
      <c r="G49" s="197">
        <v>48944</v>
      </c>
      <c r="H49" s="272"/>
      <c r="I49" s="195" t="str">
        <f>Stratgegy_OKRKPI[[#This Row],[Short Name]]&amp;" ("&amp;Stratgegy_OKRKPI[[#This Row],[Type]]&amp;"): "&amp;Stratgegy_OKRKPI[[#This Row],[Description]]&amp;" (Objective Measured: "&amp;Stratgegy_OKRKPI[[#This Row],[Objective Measured]]&amp;"; Date targeted / Frequency: "&amp;TEXT(Stratgegy_OKRKPI[[#This Row],[Target Date]],"DD-MMM-YYYY")&amp;")"</f>
        <v>Southeast Asian Revenue Generation (KR): Revenue generation as measured by Southeast Asian contract awards increasing from zero to $150M annually. (Objective Measured: Build Partnership Network; Date targeted / Frequency: 31-Dec-2033)</v>
      </c>
    </row>
    <row r="50" spans="1:9" ht="34" customHeight="1" x14ac:dyDescent="0.2">
      <c r="A50" s="325"/>
      <c r="B50" s="147" t="s">
        <v>1449</v>
      </c>
      <c r="C50" s="147" t="s">
        <v>1439</v>
      </c>
      <c r="D50" s="147" t="s">
        <v>183</v>
      </c>
      <c r="E50" s="195" t="s">
        <v>1410</v>
      </c>
      <c r="F50" s="147" t="s">
        <v>1472</v>
      </c>
      <c r="G50" s="273" t="s">
        <v>1440</v>
      </c>
      <c r="H50" s="336"/>
      <c r="I50" s="195" t="str">
        <f>Stratgegy_OKRKPI[[#This Row],[Short Name]]&amp;" ("&amp;Stratgegy_OKRKPI[[#This Row],[Type]]&amp;"): "&amp;Stratgegy_OKRKPI[[#This Row],[Description]]&amp;" (Objective Measured: "&amp;Stratgegy_OKRKPI[[#This Row],[Objective Measured]]&amp;"; Date targeted / Frequency: "&amp;TEXT(Stratgegy_OKRKPI[[#This Row],[Target Date]],"DD-MMM-YYYY")&amp;")"</f>
        <v>Partnership Relationship Health (KPI): Relationship health as measured by Southeast Asian partner satisfaction score maintaining 85% or higher. (Objective Measured: Build Partnership Network; Date targeted / Frequency: Semi-annually)</v>
      </c>
    </row>
    <row r="51" spans="1:9" ht="34" customHeight="1" x14ac:dyDescent="0.2">
      <c r="A51" s="325"/>
      <c r="B51" s="147" t="s">
        <v>1450</v>
      </c>
      <c r="C51" s="147" t="s">
        <v>1433</v>
      </c>
      <c r="D51" s="147" t="s">
        <v>1426</v>
      </c>
      <c r="E51" s="195" t="s">
        <v>1415</v>
      </c>
      <c r="F51" s="147" t="s">
        <v>1479</v>
      </c>
      <c r="G51" s="273">
        <v>47118</v>
      </c>
      <c r="H51" s="336"/>
      <c r="I51" s="195" t="str">
        <f>Stratgegy_OKRKPI[[#This Row],[Short Name]]&amp;" ("&amp;Stratgegy_OKRKPI[[#This Row],[Type]]&amp;"): "&amp;Stratgegy_OKRKPI[[#This Row],[Description]]&amp;" (Objective Measured: "&amp;Stratgegy_OKRKPI[[#This Row],[Objective Measured]]&amp;"; Date targeted / Frequency: "&amp;TEXT(Stratgegy_OKRKPI[[#This Row],[Target Date]],"DD-MMM-YYYY")&amp;")"</f>
        <v>Division Operational Capacity (KR): Division establishment as measured by regional staff deployment increasing from zero to 25 personnel. (Objective Measured: Establish Southeast Asian Division; Date targeted / Frequency: 31-Dec-2028)</v>
      </c>
    </row>
    <row r="52" spans="1:9" ht="34" customHeight="1" x14ac:dyDescent="0.2">
      <c r="A52" s="325"/>
      <c r="B52" s="147" t="s">
        <v>1451</v>
      </c>
      <c r="C52" s="176" t="s">
        <v>1437</v>
      </c>
      <c r="D52" s="142" t="s">
        <v>183</v>
      </c>
      <c r="E52" s="147" t="s">
        <v>1411</v>
      </c>
      <c r="F52" s="176" t="s">
        <v>1483</v>
      </c>
      <c r="G52" s="197" t="s">
        <v>1438</v>
      </c>
      <c r="H52" s="272"/>
      <c r="I52" s="195" t="str">
        <f>Stratgegy_OKRKPI[[#This Row],[Short Name]]&amp;" ("&amp;Stratgegy_OKRKPI[[#This Row],[Type]]&amp;"): "&amp;Stratgegy_OKRKPI[[#This Row],[Description]]&amp;" (Objective Measured: "&amp;Stratgegy_OKRKPI[[#This Row],[Objective Measured]]&amp;"; Date targeted / Frequency: "&amp;TEXT(Stratgegy_OKRKPI[[#This Row],[Target Date]],"DD-MMM-YYYY")&amp;")"</f>
        <v>Domestic Market Share (KPI): Market share as measured by U.S. armored vehicle percentage maintaining 27% compared to 27% baseline. (Objective Measured: Maintain Made-in America Brand; Date targeted / Frequency: Annually)</v>
      </c>
    </row>
    <row r="53" spans="1:9" ht="34" customHeight="1" x14ac:dyDescent="0.2">
      <c r="A53" s="325"/>
      <c r="B53" s="147" t="s">
        <v>1452</v>
      </c>
      <c r="C53" s="147" t="s">
        <v>1445</v>
      </c>
      <c r="D53" s="147" t="s">
        <v>183</v>
      </c>
      <c r="E53" s="195" t="s">
        <v>1415</v>
      </c>
      <c r="F53" s="147" t="s">
        <v>1480</v>
      </c>
      <c r="G53" s="197" t="s">
        <v>1438</v>
      </c>
      <c r="H53" s="272"/>
      <c r="I53" s="195" t="str">
        <f>Stratgegy_OKRKPI[[#This Row],[Short Name]]&amp;" ("&amp;Stratgegy_OKRKPI[[#This Row],[Type]]&amp;"): "&amp;Stratgegy_OKRKPI[[#This Row],[Description]]&amp;" (Objective Measured: "&amp;Stratgegy_OKRKPI[[#This Row],[Objective Measured]]&amp;"; Date targeted / Frequency: "&amp;TEXT(Stratgegy_OKRKPI[[#This Row],[Target Date]],"DD-MMM-YYYY")&amp;")"</f>
        <v>Cultural Competency Effectiveness (KPI): Cultural competency as measured by relationship manager capability assessment maintaining 80% proficiency or higher. (Objective Measured: Establish Southeast Asian Division; Date targeted / Frequency: Annually)</v>
      </c>
    </row>
    <row r="54" spans="1:9" ht="34" customHeight="1" x14ac:dyDescent="0.2">
      <c r="A54" s="325"/>
      <c r="B54" s="147" t="s">
        <v>1453</v>
      </c>
      <c r="C54" s="147" t="s">
        <v>1430</v>
      </c>
      <c r="D54" s="147" t="s">
        <v>1426</v>
      </c>
      <c r="E54" s="195" t="s">
        <v>1423</v>
      </c>
      <c r="F54" s="147" t="s">
        <v>1484</v>
      </c>
      <c r="G54" s="197">
        <v>47848</v>
      </c>
      <c r="H54" s="272"/>
      <c r="I54" s="195" t="str">
        <f>Stratgegy_OKRKPI[[#This Row],[Short Name]]&amp;" ("&amp;Stratgegy_OKRKPI[[#This Row],[Type]]&amp;"): "&amp;Stratgegy_OKRKPI[[#This Row],[Description]]&amp;" (Objective Measured: "&amp;Stratgegy_OKRKPI[[#This Row],[Objective Measured]]&amp;"; Date targeted / Frequency: "&amp;TEXT(Stratgegy_OKRKPI[[#This Row],[Target Date]],"DD-MMM-YYYY")&amp;")"</f>
        <v>Regulatory Timeline Reduction (KR): Regulatory approval as measured by ITAR/FMS timeline reduction from 30 months baseline to 18 months. (Objective Measured: Secure Favorable Regulatory Environment; Date targeted / Frequency: 31-Dec-2030)</v>
      </c>
    </row>
    <row r="55" spans="1:9" ht="34" customHeight="1" x14ac:dyDescent="0.2">
      <c r="A55" s="325"/>
      <c r="B55" s="147" t="s">
        <v>1454</v>
      </c>
      <c r="C55" s="147" t="s">
        <v>1442</v>
      </c>
      <c r="D55" s="147" t="s">
        <v>183</v>
      </c>
      <c r="E55" s="195" t="s">
        <v>1423</v>
      </c>
      <c r="F55" s="147" t="s">
        <v>1485</v>
      </c>
      <c r="G55" s="273" t="s">
        <v>1436</v>
      </c>
      <c r="H55" s="336"/>
      <c r="I55" s="195" t="str">
        <f>Stratgegy_OKRKPI[[#This Row],[Short Name]]&amp;" ("&amp;Stratgegy_OKRKPI[[#This Row],[Type]]&amp;"): "&amp;Stratgegy_OKRKPI[[#This Row],[Description]]&amp;" (Objective Measured: "&amp;Stratgegy_OKRKPI[[#This Row],[Objective Measured]]&amp;"; Date targeted / Frequency: "&amp;TEXT(Stratgegy_OKRKPI[[#This Row],[Target Date]],"DD-MMM-YYYY")&amp;")"</f>
        <v>Export Approval Timeliness (KPI): Approval timeliness as measured by average ITAR/FMS processing duration maintaining 18 months or less. (Objective Measured: Secure Favorable Regulatory Environment; Date targeted / Frequency: Quarterly)</v>
      </c>
    </row>
    <row r="56" spans="1:9" ht="34" customHeight="1" x14ac:dyDescent="0.2">
      <c r="A56" s="325"/>
      <c r="B56" s="147" t="s">
        <v>1455</v>
      </c>
      <c r="C56" s="147" t="s">
        <v>1431</v>
      </c>
      <c r="D56" s="147" t="s">
        <v>1426</v>
      </c>
      <c r="E56" s="195" t="s">
        <v>1414</v>
      </c>
      <c r="F56" s="147" t="s">
        <v>1481</v>
      </c>
      <c r="G56" s="273">
        <v>47664</v>
      </c>
      <c r="H56" s="336"/>
      <c r="I56" s="195" t="str">
        <f>Stratgegy_OKRKPI[[#This Row],[Short Name]]&amp;" ("&amp;Stratgegy_OKRKPI[[#This Row],[Type]]&amp;"): "&amp;Stratgegy_OKRKPI[[#This Row],[Description]]&amp;" (Objective Measured: "&amp;Stratgegy_OKRKPI[[#This Row],[Objective Measured]]&amp;"; Date targeted / Frequency: "&amp;TEXT(Stratgegy_OKRKPI[[#This Row],[Target Date]],"DD-MMM-YYYY")&amp;")"</f>
        <v>Military Advocacy Achievement (KR): Military advocacy as measured by FMS case sponsorships increasing from zero to three Embassy endorsements. (Objective Measured: Gain U.S. Military Advocacy; Date targeted / Frequency: 30-Jun-2030)</v>
      </c>
    </row>
    <row r="57" spans="1:9" ht="34" customHeight="1" x14ac:dyDescent="0.2">
      <c r="A57" s="325"/>
      <c r="B57" s="147" t="s">
        <v>1456</v>
      </c>
      <c r="C57" s="147" t="s">
        <v>1444</v>
      </c>
      <c r="D57" s="147" t="s">
        <v>183</v>
      </c>
      <c r="E57" s="195" t="s">
        <v>1416</v>
      </c>
      <c r="F57" s="147" t="s">
        <v>1476</v>
      </c>
      <c r="G57" s="197" t="s">
        <v>1436</v>
      </c>
      <c r="H57" s="272"/>
      <c r="I57" s="195" t="str">
        <f>Stratgegy_OKRKPI[[#This Row],[Short Name]]&amp;" ("&amp;Stratgegy_OKRKPI[[#This Row],[Type]]&amp;"): "&amp;Stratgegy_OKRKPI[[#This Row],[Description]]&amp;" (Objective Measured: "&amp;Stratgegy_OKRKPI[[#This Row],[Objective Measured]]&amp;"; Date targeted / Frequency: "&amp;TEXT(Stratgegy_OKRKPI[[#This Row],[Target Date]],"DD-MMM-YYYY")&amp;")"</f>
        <v>Compliance Violation Rate (KPI): Compliance performance as measured by FCPA/ITAR violation incidents maintaining zero violations. (Objective Measured: Establish Export Compliance Office; Date targeted / Frequency: Quarterly)</v>
      </c>
    </row>
    <row r="58" spans="1:9" ht="34" customHeight="1" x14ac:dyDescent="0.2">
      <c r="A58" s="325"/>
      <c r="B58" s="147" t="s">
        <v>1457</v>
      </c>
      <c r="C58" s="147" t="s">
        <v>1446</v>
      </c>
      <c r="D58" s="147" t="s">
        <v>183</v>
      </c>
      <c r="E58" s="195" t="s">
        <v>2184</v>
      </c>
      <c r="F58" s="176" t="s">
        <v>1478</v>
      </c>
      <c r="G58" s="197" t="s">
        <v>1443</v>
      </c>
      <c r="H58" s="272"/>
      <c r="I58" s="195" t="str">
        <f>Stratgegy_OKRKPI[[#This Row],[Short Name]]&amp;" ("&amp;Stratgegy_OKRKPI[[#This Row],[Type]]&amp;"): "&amp;Stratgegy_OKRKPI[[#This Row],[Description]]&amp;" (Objective Measured: "&amp;Stratgegy_OKRKPI[[#This Row],[Objective Measured]]&amp;"; Date targeted / Frequency: "&amp;TEXT(Stratgegy_OKRKPI[[#This Row],[Target Date]],"DD-MMM-YYYY")&amp;")"</f>
        <v>Cybersecurity Incident Rate (KPI): Cybersecurity as measured by successful breach attempts maintaining zero proprietary technology compromises. (Objective Measured: Construct Advanced Cyber Protection Infrastructure; Date targeted / Frequency: Monthly)</v>
      </c>
    </row>
    <row r="59" spans="1:9" ht="34" customHeight="1" x14ac:dyDescent="0.2">
      <c r="A59" s="325"/>
      <c r="B59" s="147" t="s">
        <v>1458</v>
      </c>
      <c r="C59" s="147" t="s">
        <v>1432</v>
      </c>
      <c r="D59" s="147" t="s">
        <v>1426</v>
      </c>
      <c r="E59" s="195" t="s">
        <v>1412</v>
      </c>
      <c r="F59" s="147" t="s">
        <v>1466</v>
      </c>
      <c r="G59" s="278">
        <v>48579</v>
      </c>
      <c r="H59" s="336"/>
      <c r="I59" s="195" t="str">
        <f>Stratgegy_OKRKPI[[#This Row],[Short Name]]&amp;" ("&amp;Stratgegy_OKRKPI[[#This Row],[Type]]&amp;"): "&amp;Stratgegy_OKRKPI[[#This Row],[Description]]&amp;" (Objective Measured: "&amp;Stratgegy_OKRKPI[[#This Row],[Objective Measured]]&amp;"; Date targeted / Frequency: "&amp;TEXT(Stratgegy_OKRKPI[[#This Row],[Target Date]],"DD-MMM-YYYY")&amp;")"</f>
        <v>Automation Implementation (KR): Production automation as measured by automated assembly percentage increasing from 20% baseline to 60%. (Objective Measured: Automate Production Systems; Date targeted / Frequency: 31-Dec-2032)</v>
      </c>
    </row>
    <row r="60" spans="1:9" ht="34" customHeight="1" x14ac:dyDescent="0.2">
      <c r="A60" s="325"/>
      <c r="B60" s="147" t="s">
        <v>1459</v>
      </c>
      <c r="C60" s="147" t="s">
        <v>1463</v>
      </c>
      <c r="D60" s="147" t="s">
        <v>1426</v>
      </c>
      <c r="E60" s="195" t="s">
        <v>1412</v>
      </c>
      <c r="F60" s="147" t="s">
        <v>1467</v>
      </c>
      <c r="G60" s="197">
        <v>47848</v>
      </c>
      <c r="H60" s="272"/>
      <c r="I60" s="195" t="str">
        <f>Stratgegy_OKRKPI[[#This Row],[Short Name]]&amp;" ("&amp;Stratgegy_OKRKPI[[#This Row],[Type]]&amp;"): "&amp;Stratgegy_OKRKPI[[#This Row],[Description]]&amp;" (Objective Measured: "&amp;Stratgegy_OKRKPI[[#This Row],[Objective Measured]]&amp;"; Date targeted / Frequency: "&amp;TEXT(Stratgegy_OKRKPI[[#This Row],[Target Date]],"DD-MMM-YYYY")&amp;")"</f>
        <v>Dual-Market Production Achievement (KR): Dual-market production as measured by simultaneous U.S. and Southeast Asian contract fulfillment capability achieving operational status. (Objective Measured: Automate Production Systems; Date targeted / Frequency: 31-Dec-2030)</v>
      </c>
    </row>
    <row r="61" spans="1:9" ht="34" customHeight="1" x14ac:dyDescent="0.2">
      <c r="A61" s="325"/>
      <c r="B61" s="147" t="s">
        <v>1460</v>
      </c>
      <c r="C61" s="147" t="s">
        <v>1367</v>
      </c>
      <c r="D61" s="147" t="s">
        <v>183</v>
      </c>
      <c r="E61" s="195" t="s">
        <v>1412</v>
      </c>
      <c r="F61" s="176" t="s">
        <v>1468</v>
      </c>
      <c r="G61" s="197" t="s">
        <v>1443</v>
      </c>
      <c r="H61" s="272"/>
      <c r="I61" s="195" t="str">
        <f>Stratgegy_OKRKPI[[#This Row],[Short Name]]&amp;" ("&amp;Stratgegy_OKRKPI[[#This Row],[Type]]&amp;"): "&amp;Stratgegy_OKRKPI[[#This Row],[Description]]&amp;" (Objective Measured: "&amp;Stratgegy_OKRKPI[[#This Row],[Objective Measured]]&amp;"; Date targeted / Frequency: "&amp;TEXT(Stratgegy_OKRKPI[[#This Row],[Target Date]],"DD-MMM-YYYY")&amp;")"</f>
        <v>Dual-Market Production Capacity (KPI): Production capacity as measured by dual-market fulfillment rate maintaining 95% on-time delivery. (Objective Measured: Automate Production Systems; Date targeted / Frequency: Monthly)</v>
      </c>
    </row>
    <row r="62" spans="1:9" ht="34" customHeight="1" x14ac:dyDescent="0.2">
      <c r="A62" s="325"/>
      <c r="B62" s="147" t="s">
        <v>1461</v>
      </c>
      <c r="C62" s="147" t="s">
        <v>1434</v>
      </c>
      <c r="D62" s="147" t="s">
        <v>1426</v>
      </c>
      <c r="E62" s="277" t="s">
        <v>1416</v>
      </c>
      <c r="F62" s="147" t="s">
        <v>1477</v>
      </c>
      <c r="G62" s="273">
        <v>47118</v>
      </c>
      <c r="H62" s="336"/>
      <c r="I62" s="195" t="str">
        <f>Stratgegy_OKRKPI[[#This Row],[Short Name]]&amp;" ("&amp;Stratgegy_OKRKPI[[#This Row],[Type]]&amp;"): "&amp;Stratgegy_OKRKPI[[#This Row],[Description]]&amp;" (Objective Measured: "&amp;Stratgegy_OKRKPI[[#This Row],[Objective Measured]]&amp;"; Date targeted / Frequency: "&amp;TEXT(Stratgegy_OKRKPI[[#This Row],[Target Date]],"DD-MMM-YYYY")&amp;")"</f>
        <v>Compliance Office Operational (KR): Compliance office as measured by export license processing capacity increasing from zero to 20 applications annually. (Objective Measured: Establish Export Compliance Office; Date targeted / Frequency: 31-Dec-2028)</v>
      </c>
    </row>
    <row r="63" spans="1:9" ht="34" customHeight="1" x14ac:dyDescent="0.2">
      <c r="A63" s="325"/>
      <c r="B63" s="147" t="s">
        <v>1462</v>
      </c>
      <c r="C63" s="147" t="s">
        <v>1447</v>
      </c>
      <c r="D63" s="147" t="s">
        <v>183</v>
      </c>
      <c r="E63" s="195" t="s">
        <v>1412</v>
      </c>
      <c r="F63" s="176" t="s">
        <v>1469</v>
      </c>
      <c r="G63" s="197" t="s">
        <v>1436</v>
      </c>
      <c r="H63" s="272"/>
      <c r="I63" s="195" t="str">
        <f>Stratgegy_OKRKPI[[#This Row],[Short Name]]&amp;" ("&amp;Stratgegy_OKRKPI[[#This Row],[Type]]&amp;"): "&amp;Stratgegy_OKRKPI[[#This Row],[Description]]&amp;" (Objective Measured: "&amp;Stratgegy_OKRKPI[[#This Row],[Objective Measured]]&amp;"; Date targeted / Frequency: "&amp;TEXT(Stratgegy_OKRKPI[[#This Row],[Target Date]],"DD-MMM-YYYY")&amp;")"</f>
        <v>Revenue Stream Balance (KPI): Revenue balance as measured by U.S./Southeast Asian ratio maintaining 60/40 distribution target. (Objective Measured: Automate Production Systems; Date targeted / Frequency: Quarterly)</v>
      </c>
    </row>
    <row r="64" spans="1:9" ht="34" customHeight="1" x14ac:dyDescent="0.2">
      <c r="A64" s="325"/>
      <c r="B64" s="147" t="s">
        <v>1619</v>
      </c>
      <c r="C64" s="147" t="s">
        <v>1620</v>
      </c>
      <c r="D64" s="147" t="s">
        <v>1426</v>
      </c>
      <c r="E64" s="195" t="s">
        <v>2184</v>
      </c>
      <c r="F64" s="147" t="s">
        <v>1621</v>
      </c>
      <c r="G64" s="197">
        <v>47848</v>
      </c>
      <c r="H64" s="272"/>
      <c r="I64" s="195" t="str">
        <f>Stratgegy_OKRKPI[[#This Row],[Short Name]]&amp;" ("&amp;Stratgegy_OKRKPI[[#This Row],[Type]]&amp;"): "&amp;Stratgegy_OKRKPI[[#This Row],[Description]]&amp;" (Objective Measured: "&amp;Stratgegy_OKRKPI[[#This Row],[Objective Measured]]&amp;"; Date targeted / Frequency: "&amp;TEXT(Stratgegy_OKRKPI[[#This Row],[Target Date]],"DD-MMM-YYYY")&amp;")"</f>
        <v>Cyber Protection Infrastructure Deployed (KR): Achieve CMMC Level 3 certification and deploy intrusion detection systems containing breaches within 15 minutes. (Objective Measured: Construct Advanced Cyber Protection Infrastructure; Date targeted / Frequency: 31-Dec-2030)</v>
      </c>
    </row>
    <row r="65" spans="1:25" x14ac:dyDescent="0.2">
      <c r="B65" s="147"/>
      <c r="C65" s="142"/>
      <c r="D65" s="135"/>
      <c r="E65" s="195"/>
      <c r="F65" s="135"/>
      <c r="G65" s="197"/>
    </row>
    <row r="66" spans="1:25" s="144" customFormat="1" x14ac:dyDescent="0.2">
      <c r="A66" s="84"/>
      <c r="B66" s="311" t="s">
        <v>1633</v>
      </c>
      <c r="C66" s="311"/>
      <c r="D66" s="311"/>
      <c r="E66" s="320"/>
      <c r="F66" s="311"/>
      <c r="G66" s="324"/>
      <c r="H66" s="324"/>
      <c r="I66" s="226"/>
      <c r="J66" s="84"/>
      <c r="K66" s="84"/>
      <c r="L66" s="84"/>
      <c r="M66" s="84"/>
      <c r="N66" s="84"/>
      <c r="O66" s="84"/>
      <c r="P66" s="84"/>
      <c r="Q66" s="84"/>
      <c r="R66" s="84"/>
      <c r="S66" s="84"/>
      <c r="T66" s="84"/>
      <c r="U66" s="84"/>
      <c r="V66" s="84"/>
      <c r="W66" s="84"/>
      <c r="X66" s="84"/>
      <c r="Y66" s="84"/>
    </row>
    <row r="67" spans="1:25" s="144" customFormat="1" x14ac:dyDescent="0.2">
      <c r="A67" s="84"/>
      <c r="B67" s="322" t="s">
        <v>40</v>
      </c>
      <c r="C67" s="144" t="s">
        <v>1703</v>
      </c>
      <c r="D67" s="219" t="s">
        <v>128</v>
      </c>
      <c r="E67" s="219" t="s">
        <v>1407</v>
      </c>
      <c r="F67" s="219" t="s">
        <v>172</v>
      </c>
      <c r="G67" s="265" t="s">
        <v>595</v>
      </c>
      <c r="H67" s="331" t="s">
        <v>1702</v>
      </c>
      <c r="I67" s="345" t="s">
        <v>174</v>
      </c>
      <c r="J67" s="84"/>
      <c r="K67" s="84"/>
      <c r="L67" s="84"/>
      <c r="M67" s="84"/>
      <c r="N67" s="84"/>
      <c r="O67" s="84"/>
      <c r="P67" s="84"/>
      <c r="Q67" s="84"/>
      <c r="R67" s="84"/>
      <c r="S67" s="84"/>
      <c r="T67" s="84"/>
      <c r="U67" s="84"/>
      <c r="V67" s="84"/>
      <c r="W67" s="84"/>
      <c r="X67" s="84"/>
      <c r="Y67" s="84"/>
    </row>
    <row r="68" spans="1:25" s="144" customFormat="1" ht="34" customHeight="1" x14ac:dyDescent="0.2">
      <c r="A68" s="84"/>
      <c r="B68" s="147" t="s">
        <v>1623</v>
      </c>
      <c r="C68" s="147" t="s">
        <v>1672</v>
      </c>
      <c r="D68" s="147" t="s">
        <v>340</v>
      </c>
      <c r="E68" s="195" t="s">
        <v>1427</v>
      </c>
      <c r="F68" s="147" t="s">
        <v>1676</v>
      </c>
      <c r="G68" s="273">
        <v>47483</v>
      </c>
      <c r="H68" s="333">
        <v>40000000</v>
      </c>
      <c r="I68" s="195" t="str">
        <f>Stratgegy_OBJ_2[[#This Row],[Short Name]]&amp;": "&amp;Stratgegy_OBJ_2[[#This Row],[Description]]&amp;" (Objective targeted: "&amp;Stratgegy_OBJ_2[[#This Row],[Objective Targeted]]&amp;"; Date targeted: "&amp;TEXT(Stratgegy_OBJ_2[[#This Row],[Target Date]],"DD-MMM-YYYY")&amp;"; Cost: "&amp;TEXT(Stratgegy_OBJ_2[[#This Row],[Cost]],"$#,##0")&amp;")"</f>
        <v>Next-Gen Prototype Complete: Advanced platform achieves initial operating capability demonstrating technological readiness for procurement. (Objective targeted: Deploy Next-Generation Vehicle; Date targeted: 31-Dec-2029; Cost: $40,000,000)</v>
      </c>
      <c r="J68" s="84"/>
      <c r="K68" s="84"/>
      <c r="L68" s="332"/>
      <c r="M68" s="332"/>
      <c r="N68" s="84"/>
      <c r="O68" s="84"/>
      <c r="P68" s="84"/>
      <c r="Q68" s="84"/>
      <c r="R68" s="84"/>
      <c r="S68" s="84"/>
      <c r="T68" s="84"/>
      <c r="U68" s="84"/>
      <c r="V68" s="84"/>
      <c r="W68" s="84"/>
      <c r="X68" s="84"/>
      <c r="Y68" s="84"/>
    </row>
    <row r="69" spans="1:25" s="144" customFormat="1" ht="34" customHeight="1" x14ac:dyDescent="0.2">
      <c r="A69" s="84"/>
      <c r="B69" s="147" t="s">
        <v>1624</v>
      </c>
      <c r="C69" s="147" t="s">
        <v>1670</v>
      </c>
      <c r="D69" s="147" t="s">
        <v>340</v>
      </c>
      <c r="E69" s="195" t="s">
        <v>1427</v>
      </c>
      <c r="F69" s="147" t="s">
        <v>1678</v>
      </c>
      <c r="G69" s="273">
        <v>47848</v>
      </c>
      <c r="H69" s="333">
        <v>18000000</v>
      </c>
      <c r="I69" s="195" t="str">
        <f>Stratgegy_OBJ_2[[#This Row],[Short Name]]&amp;": "&amp;Stratgegy_OBJ_2[[#This Row],[Description]]&amp;" (Objective targeted: "&amp;Stratgegy_OBJ_2[[#This Row],[Objective Targeted]]&amp;"; Date targeted: "&amp;TEXT(Stratgegy_OBJ_2[[#This Row],[Target Date]],"DD-MMM-YYYY")&amp;"; Cost: "&amp;TEXT(Stratgegy_OBJ_2[[#This Row],[Cost]],"$#,##0")&amp;")"</f>
        <v>Next-Gen IOC Achieved: Initial operational capability reached with production-ready platform validating manufacturing scalability and contract fulfillment readiness. (Objective targeted: Deploy Next-Generation Vehicle; Date targeted: 31-Dec-2030; Cost: $18,000,000)</v>
      </c>
      <c r="J69" s="84"/>
      <c r="K69" s="84"/>
      <c r="L69" s="332"/>
      <c r="M69" s="332"/>
      <c r="N69" s="84"/>
      <c r="O69" s="84"/>
      <c r="P69" s="84"/>
      <c r="Q69" s="84"/>
      <c r="R69" s="84"/>
      <c r="S69" s="84"/>
      <c r="T69" s="84"/>
      <c r="U69" s="84"/>
      <c r="V69" s="84"/>
      <c r="W69" s="84"/>
      <c r="X69" s="84"/>
      <c r="Y69" s="84"/>
    </row>
    <row r="70" spans="1:25" s="144" customFormat="1" ht="34" customHeight="1" x14ac:dyDescent="0.2">
      <c r="A70" s="84"/>
      <c r="B70" s="591" t="s">
        <v>1625</v>
      </c>
      <c r="C70" s="147" t="s">
        <v>1655</v>
      </c>
      <c r="D70" s="147" t="s">
        <v>340</v>
      </c>
      <c r="E70" s="195" t="s">
        <v>1427</v>
      </c>
      <c r="F70" s="147" t="s">
        <v>1677</v>
      </c>
      <c r="G70" s="273">
        <v>48029</v>
      </c>
      <c r="H70" s="333">
        <v>30000000</v>
      </c>
      <c r="I70" s="195" t="str">
        <f>Stratgegy_OBJ_2[[#This Row],[Short Name]]&amp;": "&amp;Stratgegy_OBJ_2[[#This Row],[Description]]&amp;" (Objective targeted: "&amp;Stratgegy_OBJ_2[[#This Row],[Objective Targeted]]&amp;"; Date targeted: "&amp;TEXT(Stratgegy_OBJ_2[[#This Row],[Target Date]],"DD-MMM-YYYY")&amp;"; Cost: "&amp;TEXT(Stratgegy_OBJ_2[[#This Row],[Cost]],"$#,##0")&amp;")"</f>
        <v>Advanced Systems Integration Complete: AI-enabled subsystems and active protection technologies integrated achieving performance specifications for competitive differentiation. (Objective targeted: Deploy Next-Generation Vehicle; Date targeted: 30-Jun-2031; Cost: $30,000,000)</v>
      </c>
      <c r="J70" s="84"/>
      <c r="K70" s="84"/>
      <c r="L70" s="332"/>
      <c r="M70" s="332"/>
      <c r="N70" s="84"/>
      <c r="O70" s="84"/>
      <c r="P70" s="84"/>
      <c r="Q70" s="84"/>
      <c r="R70" s="84"/>
      <c r="S70" s="84"/>
      <c r="T70" s="84"/>
      <c r="U70" s="84"/>
      <c r="V70" s="84"/>
      <c r="W70" s="84"/>
      <c r="X70" s="84"/>
      <c r="Y70" s="84"/>
    </row>
    <row r="71" spans="1:25" s="144" customFormat="1" ht="34" customHeight="1" x14ac:dyDescent="0.2">
      <c r="A71" s="84"/>
      <c r="B71" s="591" t="s">
        <v>1626</v>
      </c>
      <c r="C71" s="147" t="s">
        <v>1656</v>
      </c>
      <c r="D71" s="147" t="s">
        <v>340</v>
      </c>
      <c r="E71" s="195" t="s">
        <v>1427</v>
      </c>
      <c r="F71" s="147" t="s">
        <v>1679</v>
      </c>
      <c r="G71" s="273">
        <v>48579</v>
      </c>
      <c r="H71" s="333">
        <v>12000000</v>
      </c>
      <c r="I71" s="195" t="str">
        <f>Stratgegy_OBJ_2[[#This Row],[Short Name]]&amp;": "&amp;Stratgegy_OBJ_2[[#This Row],[Description]]&amp;" (Objective targeted: "&amp;Stratgegy_OBJ_2[[#This Row],[Objective Targeted]]&amp;"; Date targeted: "&amp;TEXT(Stratgegy_OBJ_2[[#This Row],[Target Date]],"DD-MMM-YYYY")&amp;"; Cost: "&amp;TEXT(Stratgegy_OBJ_2[[#This Row],[Cost]],"$#,##0")&amp;")"</f>
        <v>Next-Gen FOC Achieved: Full operational capability reached with production-ready platform validating manufacturing scalability and contract fulfillment readiness. (Objective targeted: Deploy Next-Generation Vehicle; Date targeted: 31-Dec-2032; Cost: $12,000,000)</v>
      </c>
      <c r="J71" s="84"/>
      <c r="K71" s="84"/>
      <c r="L71" s="332"/>
      <c r="M71" s="332"/>
      <c r="N71" s="84"/>
      <c r="O71" s="84"/>
      <c r="P71" s="84"/>
      <c r="Q71" s="84"/>
      <c r="R71" s="84"/>
      <c r="S71" s="84"/>
      <c r="T71" s="84"/>
      <c r="U71" s="84"/>
      <c r="V71" s="84"/>
      <c r="W71" s="84"/>
      <c r="X71" s="84"/>
      <c r="Y71" s="84"/>
    </row>
    <row r="72" spans="1:25" s="144" customFormat="1" ht="34" customHeight="1" x14ac:dyDescent="0.2">
      <c r="A72" s="84"/>
      <c r="B72" s="112" t="s">
        <v>1627</v>
      </c>
      <c r="C72" s="147" t="s">
        <v>1639</v>
      </c>
      <c r="D72" s="147" t="s">
        <v>340</v>
      </c>
      <c r="E72" s="195" t="s">
        <v>2184</v>
      </c>
      <c r="F72" s="147" t="s">
        <v>1680</v>
      </c>
      <c r="G72" s="273">
        <v>47118</v>
      </c>
      <c r="H72" s="338">
        <v>3000000</v>
      </c>
      <c r="I72" s="195" t="str">
        <f>Stratgegy_OBJ_2[[#This Row],[Short Name]]&amp;": "&amp;Stratgegy_OBJ_2[[#This Row],[Description]]&amp;" (Objective targeted: "&amp;Stratgegy_OBJ_2[[#This Row],[Objective Targeted]]&amp;"; Date targeted: "&amp;TEXT(Stratgegy_OBJ_2[[#This Row],[Target Date]],"DD-MMM-YYYY")&amp;"; Cost: "&amp;TEXT(Stratgegy_OBJ_2[[#This Row],[Cost]],"$#,##0")&amp;")"</f>
        <v>CMMC Level 3 Certified: Cybersecurity certification achieved protecting proprietary technologies and enabling trusted partner status. (Objective targeted: Construct Advanced Cyber Protection Infrastructure; Date targeted: 31-Dec-2028; Cost: $3,000,000)</v>
      </c>
      <c r="J72" s="84"/>
      <c r="K72" s="84"/>
      <c r="L72" s="332"/>
      <c r="M72" s="332"/>
      <c r="N72" s="84"/>
      <c r="O72" s="84"/>
      <c r="P72" s="84"/>
      <c r="Q72" s="84"/>
      <c r="R72" s="84"/>
      <c r="S72" s="84"/>
      <c r="T72" s="84"/>
      <c r="U72" s="84"/>
      <c r="V72" s="84"/>
      <c r="W72" s="84"/>
      <c r="X72" s="84"/>
      <c r="Y72" s="84"/>
    </row>
    <row r="73" spans="1:25" s="144" customFormat="1" ht="34" customHeight="1" x14ac:dyDescent="0.2">
      <c r="A73" s="147"/>
      <c r="B73" s="112" t="s">
        <v>1628</v>
      </c>
      <c r="C73" s="147" t="s">
        <v>1652</v>
      </c>
      <c r="D73" s="147" t="s">
        <v>340</v>
      </c>
      <c r="E73" s="195" t="s">
        <v>2184</v>
      </c>
      <c r="F73" s="147" t="s">
        <v>1681</v>
      </c>
      <c r="G73" s="273">
        <v>47299</v>
      </c>
      <c r="H73" s="338">
        <v>6500000</v>
      </c>
      <c r="I73" s="195" t="str">
        <f>Stratgegy_OBJ_2[[#This Row],[Short Name]]&amp;": "&amp;Stratgegy_OBJ_2[[#This Row],[Description]]&amp;" (Objective targeted: "&amp;Stratgegy_OBJ_2[[#This Row],[Objective Targeted]]&amp;"; Date targeted: "&amp;TEXT(Stratgegy_OBJ_2[[#This Row],[Target Date]],"DD-MMM-YYYY")&amp;"; Cost: "&amp;TEXT(Stratgegy_OBJ_2[[#This Row],[Cost]],"$#,##0")&amp;")"</f>
        <v>Cyber Defense Center Operational: Security operations center established with threat monitoring capabilities protecting intellectual property from nation-state attacks. (Objective targeted: Construct Advanced Cyber Protection Infrastructure; Date targeted: 30-Jun-2029; Cost: $6,500,000)</v>
      </c>
      <c r="J73" s="84"/>
      <c r="K73" s="84"/>
      <c r="L73" s="332"/>
      <c r="M73" s="332"/>
      <c r="N73" s="84"/>
      <c r="O73" s="84"/>
      <c r="P73" s="84"/>
      <c r="Q73" s="84"/>
      <c r="R73" s="84"/>
      <c r="S73" s="84"/>
      <c r="T73" s="84"/>
      <c r="U73" s="84"/>
      <c r="V73" s="84"/>
      <c r="W73" s="84"/>
      <c r="X73" s="84"/>
      <c r="Y73" s="84"/>
    </row>
    <row r="74" spans="1:25" s="144" customFormat="1" ht="34" customHeight="1" x14ac:dyDescent="0.2">
      <c r="A74" s="147"/>
      <c r="B74" s="112" t="s">
        <v>1629</v>
      </c>
      <c r="C74" s="147" t="s">
        <v>1653</v>
      </c>
      <c r="D74" s="147" t="s">
        <v>340</v>
      </c>
      <c r="E74" s="195" t="s">
        <v>2184</v>
      </c>
      <c r="F74" s="147" t="s">
        <v>1682</v>
      </c>
      <c r="G74" s="273">
        <v>47664</v>
      </c>
      <c r="H74" s="338">
        <v>3000000</v>
      </c>
      <c r="I74" s="195" t="str">
        <f>Stratgegy_OBJ_2[[#This Row],[Short Name]]&amp;": "&amp;Stratgegy_OBJ_2[[#This Row],[Description]]&amp;" (Objective targeted: "&amp;Stratgegy_OBJ_2[[#This Row],[Objective Targeted]]&amp;"; Date targeted: "&amp;TEXT(Stratgegy_OBJ_2[[#This Row],[Target Date]],"DD-MMM-YYYY")&amp;"; Cost: "&amp;TEXT(Stratgegy_OBJ_2[[#This Row],[Cost]],"$#,##0")&amp;")"</f>
        <v>Incident Response Plan Validated: Cybersecurity protocols tested through simulated breach exercise confirming organizational readiness and resilience. (Objective targeted: Construct Advanced Cyber Protection Infrastructure; Date targeted: 30-Jun-2030; Cost: $3,000,000)</v>
      </c>
      <c r="J74" s="84"/>
      <c r="K74" s="84"/>
      <c r="L74" s="332"/>
      <c r="M74" s="332"/>
      <c r="N74" s="84"/>
      <c r="O74" s="84"/>
      <c r="P74" s="84"/>
      <c r="Q74" s="84"/>
      <c r="R74" s="84"/>
      <c r="S74" s="84"/>
      <c r="T74" s="84"/>
      <c r="U74" s="84"/>
      <c r="V74" s="84"/>
      <c r="W74" s="84"/>
      <c r="X74" s="84"/>
      <c r="Y74" s="84"/>
    </row>
    <row r="75" spans="1:25" s="144" customFormat="1" ht="34" customHeight="1" x14ac:dyDescent="0.2">
      <c r="A75" s="147"/>
      <c r="B75" s="112" t="s">
        <v>1630</v>
      </c>
      <c r="C75" s="147" t="s">
        <v>1636</v>
      </c>
      <c r="D75" s="147" t="s">
        <v>340</v>
      </c>
      <c r="E75" s="195" t="s">
        <v>1410</v>
      </c>
      <c r="F75" s="147" t="s">
        <v>1683</v>
      </c>
      <c r="G75" s="273">
        <v>47299</v>
      </c>
      <c r="H75" s="338">
        <v>3000000</v>
      </c>
      <c r="I75" s="195" t="str">
        <f>Stratgegy_OBJ_2[[#This Row],[Short Name]]&amp;": "&amp;Stratgegy_OBJ_2[[#This Row],[Description]]&amp;" (Objective targeted: "&amp;Stratgegy_OBJ_2[[#This Row],[Objective Targeted]]&amp;"; Date targeted: "&amp;TEXT(Stratgegy_OBJ_2[[#This Row],[Target Date]],"DD-MMM-YYYY")&amp;"; Cost: "&amp;TEXT(Stratgegy_OBJ_2[[#This Row],[Cost]],"$#,##0")&amp;")"</f>
        <v>First Partnership Agreement Signed: Initial MOU establishes strategic relationship validating partnership approach and enabling collaborative market entry. (Objective targeted: Build Partnership Network; Date targeted: 30-Jun-2029; Cost: $3,000,000)</v>
      </c>
      <c r="J75" s="84"/>
      <c r="K75" s="84"/>
      <c r="L75" s="332"/>
      <c r="M75" s="332"/>
      <c r="N75" s="84"/>
      <c r="O75" s="84"/>
      <c r="P75" s="84"/>
      <c r="Q75" s="84"/>
      <c r="R75" s="84"/>
      <c r="S75" s="84"/>
      <c r="T75" s="84"/>
      <c r="U75" s="84"/>
      <c r="V75" s="84"/>
      <c r="W75" s="84"/>
      <c r="X75" s="84"/>
      <c r="Y75" s="84"/>
    </row>
    <row r="76" spans="1:25" s="144" customFormat="1" ht="34" customHeight="1" x14ac:dyDescent="0.2">
      <c r="A76" s="142"/>
      <c r="B76" s="112" t="s">
        <v>1381</v>
      </c>
      <c r="C76" s="147" t="s">
        <v>1643</v>
      </c>
      <c r="D76" s="147" t="s">
        <v>340</v>
      </c>
      <c r="E76" s="195" t="s">
        <v>1410</v>
      </c>
      <c r="F76" s="147" t="s">
        <v>1684</v>
      </c>
      <c r="G76" s="273">
        <v>47483</v>
      </c>
      <c r="H76" s="338">
        <v>20000000</v>
      </c>
      <c r="I76" s="195" t="str">
        <f>Stratgegy_OBJ_2[[#This Row],[Short Name]]&amp;": "&amp;Stratgegy_OBJ_2[[#This Row],[Description]]&amp;" (Objective targeted: "&amp;Stratgegy_OBJ_2[[#This Row],[Objective Targeted]]&amp;"; Date targeted: "&amp;TEXT(Stratgegy_OBJ_2[[#This Row],[Target Date]],"DD-MMM-YYYY")&amp;"; Cost: "&amp;TEXT(Stratgegy_OBJ_2[[#This Row],[Cost]],"$#,##0")&amp;")"</f>
        <v>Regional Support Network Deployed: Local service capabilities operational achieving sustained vehicle readiness and customer satisfaction for Southeast Asian clients. (Objective targeted: Build Partnership Network; Date targeted: 31-Dec-2029; Cost: $20,000,000)</v>
      </c>
      <c r="J76" s="84"/>
      <c r="K76" s="84"/>
      <c r="L76" s="332"/>
      <c r="M76" s="332"/>
      <c r="N76" s="84"/>
      <c r="O76" s="84"/>
      <c r="P76" s="84"/>
      <c r="Q76" s="84"/>
      <c r="R76" s="84"/>
      <c r="S76" s="84"/>
      <c r="T76" s="84"/>
      <c r="U76" s="84"/>
      <c r="V76" s="84"/>
      <c r="W76" s="84"/>
      <c r="X76" s="84"/>
      <c r="Y76" s="84"/>
    </row>
    <row r="77" spans="1:25" s="144" customFormat="1" ht="34" customHeight="1" x14ac:dyDescent="0.2">
      <c r="A77" s="84"/>
      <c r="B77" s="147" t="s">
        <v>1631</v>
      </c>
      <c r="C77" s="147" t="s">
        <v>1647</v>
      </c>
      <c r="D77" s="147" t="s">
        <v>340</v>
      </c>
      <c r="E77" s="195" t="s">
        <v>1410</v>
      </c>
      <c r="F77" s="147" t="s">
        <v>1685</v>
      </c>
      <c r="G77" s="273">
        <v>47848</v>
      </c>
      <c r="H77" s="338">
        <v>29000000</v>
      </c>
      <c r="I77" s="195" t="str">
        <f>Stratgegy_OBJ_2[[#This Row],[Short Name]]&amp;": "&amp;Stratgegy_OBJ_2[[#This Row],[Description]]&amp;" (Objective targeted: "&amp;Stratgegy_OBJ_2[[#This Row],[Objective Targeted]]&amp;"; Date targeted: "&amp;TEXT(Stratgegy_OBJ_2[[#This Row],[Target Date]],"DD-MMM-YYYY")&amp;"; Cost: "&amp;TEXT(Stratgegy_OBJ_2[[#This Row],[Cost]],"$#,##0")&amp;")"</f>
        <v>Joint Venture Formed: First Partnership operationalized with technology transfer agreements satisfying offset requirements and enabling local production capability. (Objective targeted: Build Partnership Network; Date targeted: 31-Dec-2030; Cost: $29,000,000)</v>
      </c>
      <c r="J77" s="84"/>
      <c r="K77" s="84"/>
      <c r="L77" s="332"/>
      <c r="M77" s="332"/>
      <c r="N77" s="84"/>
      <c r="O77" s="84"/>
      <c r="P77" s="84"/>
      <c r="Q77" s="84"/>
      <c r="R77" s="84"/>
      <c r="S77" s="84"/>
      <c r="T77" s="84"/>
      <c r="U77" s="84"/>
      <c r="V77" s="84"/>
      <c r="W77" s="84"/>
      <c r="X77" s="84"/>
      <c r="Y77" s="84"/>
    </row>
    <row r="78" spans="1:25" s="144" customFormat="1" ht="34" customHeight="1" x14ac:dyDescent="0.2">
      <c r="A78" s="84"/>
      <c r="B78" s="591" t="s">
        <v>1632</v>
      </c>
      <c r="C78" s="147" t="s">
        <v>1648</v>
      </c>
      <c r="D78" s="147" t="s">
        <v>340</v>
      </c>
      <c r="E78" s="195" t="s">
        <v>1410</v>
      </c>
      <c r="F78" s="147" t="s">
        <v>1686</v>
      </c>
      <c r="G78" s="273">
        <v>47664</v>
      </c>
      <c r="H78" s="338">
        <v>4000000</v>
      </c>
      <c r="I78" s="195" t="str">
        <f>Stratgegy_OBJ_2[[#This Row],[Short Name]]&amp;": "&amp;Stratgegy_OBJ_2[[#This Row],[Description]]&amp;" (Objective targeted: "&amp;Stratgegy_OBJ_2[[#This Row],[Objective Targeted]]&amp;"; Date targeted: "&amp;TEXT(Stratgegy_OBJ_2[[#This Row],[Target Date]],"DD-MMM-YYYY")&amp;"; Cost: "&amp;TEXT(Stratgegy_OBJ_2[[#This Row],[Cost]],"$#,##0")&amp;")"</f>
        <v>Supplier Partnership Network Established: Regional supply chain relationships formalized enabling component sourcing and logistics support for Southeast Asian operations. (Objective targeted: Build Partnership Network; Date targeted: 30-Jun-2030; Cost: $4,000,000)</v>
      </c>
      <c r="J78" s="84"/>
      <c r="K78" s="84"/>
      <c r="L78" s="332"/>
      <c r="M78" s="332"/>
      <c r="N78" s="84"/>
      <c r="O78" s="84"/>
      <c r="P78" s="84"/>
      <c r="Q78" s="84"/>
      <c r="R78" s="84"/>
      <c r="S78" s="84"/>
      <c r="T78" s="84"/>
      <c r="U78" s="84"/>
      <c r="V78" s="84"/>
      <c r="W78" s="84"/>
      <c r="X78" s="84"/>
      <c r="Y78" s="84"/>
    </row>
    <row r="79" spans="1:25" s="144" customFormat="1" ht="34" customHeight="1" x14ac:dyDescent="0.2">
      <c r="A79" s="84"/>
      <c r="B79" s="591" t="s">
        <v>1644</v>
      </c>
      <c r="C79" s="147" t="s">
        <v>1671</v>
      </c>
      <c r="D79" s="147" t="s">
        <v>340</v>
      </c>
      <c r="E79" s="195" t="s">
        <v>1413</v>
      </c>
      <c r="F79" s="147" t="s">
        <v>1675</v>
      </c>
      <c r="G79" s="273">
        <v>47118</v>
      </c>
      <c r="H79" s="338">
        <v>20000000</v>
      </c>
      <c r="I79" s="195" t="str">
        <f>Stratgegy_OBJ_2[[#This Row],[Short Name]]&amp;": "&amp;Stratgegy_OBJ_2[[#This Row],[Description]]&amp;" (Objective targeted: "&amp;Stratgegy_OBJ_2[[#This Row],[Objective Targeted]]&amp;"; Date targeted: "&amp;TEXT(Stratgegy_OBJ_2[[#This Row],[Target Date]],"DD-MMM-YYYY")&amp;"; Cost: "&amp;TEXT(Stratgegy_OBJ_2[[#This Row],[Cost]],"$#,##0")&amp;")"</f>
        <v>Climate-Adapted Prototype Complete: Ptototype with climate-hardened subsystems developed including cooling thermal management and corrosion-resistant materials achieving design specifications, building off designs from U.S. (Objective targeted: Deploy Climate-Adapted Vehicle; Date targeted: 31-Dec-2028; Cost: $20,000,000)</v>
      </c>
      <c r="J79" s="84"/>
      <c r="K79" s="84"/>
      <c r="L79" s="332"/>
      <c r="M79" s="332"/>
      <c r="N79" s="84"/>
      <c r="O79" s="84"/>
      <c r="P79" s="84"/>
      <c r="Q79" s="84"/>
      <c r="R79" s="84"/>
      <c r="S79" s="84"/>
      <c r="T79" s="84"/>
      <c r="U79" s="84"/>
      <c r="V79" s="84"/>
      <c r="W79" s="84"/>
      <c r="X79" s="84"/>
      <c r="Y79" s="84"/>
    </row>
    <row r="80" spans="1:25" s="144" customFormat="1" ht="34" customHeight="1" x14ac:dyDescent="0.2">
      <c r="A80" s="84"/>
      <c r="B80" s="147" t="s">
        <v>1662</v>
      </c>
      <c r="C80" s="147" t="s">
        <v>1673</v>
      </c>
      <c r="D80" s="147" t="s">
        <v>340</v>
      </c>
      <c r="E80" s="195" t="s">
        <v>1413</v>
      </c>
      <c r="F80" s="147" t="s">
        <v>1678</v>
      </c>
      <c r="G80" s="273">
        <v>47483</v>
      </c>
      <c r="H80" s="338">
        <v>25000000</v>
      </c>
      <c r="I80" s="195" t="str">
        <f>Stratgegy_OBJ_2[[#This Row],[Short Name]]&amp;": "&amp;Stratgegy_OBJ_2[[#This Row],[Description]]&amp;" (Objective targeted: "&amp;Stratgegy_OBJ_2[[#This Row],[Objective Targeted]]&amp;"; Date targeted: "&amp;TEXT(Stratgegy_OBJ_2[[#This Row],[Target Date]],"DD-MMM-YYYY")&amp;"; Cost: "&amp;TEXT(Stratgegy_OBJ_2[[#This Row],[Cost]],"$#,##0")&amp;")"</f>
        <v>Climate-Adapted IOC Achieved: Initial operational capability reached with production-ready platform validating manufacturing scalability and contract fulfillment readiness. (Objective targeted: Deploy Climate-Adapted Vehicle; Date targeted: 31-Dec-2029; Cost: $25,000,000)</v>
      </c>
      <c r="J80" s="84"/>
      <c r="K80" s="84"/>
      <c r="L80" s="332"/>
      <c r="M80" s="332"/>
      <c r="N80" s="84"/>
      <c r="O80" s="84"/>
      <c r="P80" s="84"/>
      <c r="Q80" s="84"/>
      <c r="R80" s="84"/>
      <c r="S80" s="84"/>
      <c r="T80" s="84"/>
      <c r="U80" s="84"/>
      <c r="V80" s="84"/>
      <c r="W80" s="84"/>
      <c r="X80" s="84"/>
      <c r="Y80" s="84"/>
    </row>
    <row r="81" spans="1:25" s="144" customFormat="1" ht="34" customHeight="1" x14ac:dyDescent="0.2">
      <c r="A81" s="84"/>
      <c r="B81" s="147" t="s">
        <v>1664</v>
      </c>
      <c r="C81" s="147" t="s">
        <v>1674</v>
      </c>
      <c r="D81" s="147" t="s">
        <v>340</v>
      </c>
      <c r="E81" s="195" t="s">
        <v>1413</v>
      </c>
      <c r="F81" s="147" t="s">
        <v>1679</v>
      </c>
      <c r="G81" s="273">
        <v>48579</v>
      </c>
      <c r="H81" s="338">
        <v>17500000</v>
      </c>
      <c r="I81" s="195" t="str">
        <f>Stratgegy_OBJ_2[[#This Row],[Short Name]]&amp;": "&amp;Stratgegy_OBJ_2[[#This Row],[Description]]&amp;" (Objective targeted: "&amp;Stratgegy_OBJ_2[[#This Row],[Objective Targeted]]&amp;"; Date targeted: "&amp;TEXT(Stratgegy_OBJ_2[[#This Row],[Target Date]],"DD-MMM-YYYY")&amp;"; Cost: "&amp;TEXT(Stratgegy_OBJ_2[[#This Row],[Cost]],"$#,##0")&amp;")"</f>
        <v>Climate-Adapted FOC Achieved: Full operational capability reached with production-ready platform validating manufacturing scalability and contract fulfillment readiness. (Objective targeted: Deploy Climate-Adapted Vehicle; Date targeted: 31-Dec-2032; Cost: $17,500,000)</v>
      </c>
      <c r="J81" s="84"/>
      <c r="K81" s="84"/>
      <c r="L81" s="332"/>
      <c r="M81" s="332"/>
      <c r="N81" s="84"/>
      <c r="O81" s="84"/>
      <c r="P81" s="84"/>
      <c r="Q81" s="84"/>
      <c r="R81" s="84"/>
      <c r="S81" s="84"/>
      <c r="T81" s="84"/>
      <c r="U81" s="84"/>
      <c r="V81" s="84"/>
      <c r="W81" s="84"/>
      <c r="X81" s="84"/>
      <c r="Y81" s="84"/>
    </row>
    <row r="82" spans="1:25" s="144" customFormat="1" ht="34" customHeight="1" x14ac:dyDescent="0.2">
      <c r="A82" s="84"/>
      <c r="B82" s="147" t="s">
        <v>1665</v>
      </c>
      <c r="C82" s="147" t="s">
        <v>1635</v>
      </c>
      <c r="D82" s="147" t="s">
        <v>340</v>
      </c>
      <c r="E82" s="195" t="s">
        <v>1415</v>
      </c>
      <c r="F82" s="147" t="s">
        <v>1687</v>
      </c>
      <c r="G82" s="273">
        <v>46752</v>
      </c>
      <c r="H82" s="338">
        <v>5000000</v>
      </c>
      <c r="I82" s="195" t="str">
        <f>Stratgegy_OBJ_2[[#This Row],[Short Name]]&amp;": "&amp;Stratgegy_OBJ_2[[#This Row],[Description]]&amp;" (Objective targeted: "&amp;Stratgegy_OBJ_2[[#This Row],[Objective Targeted]]&amp;"; Date targeted: "&amp;TEXT(Stratgegy_OBJ_2[[#This Row],[Target Date]],"DD-MMM-YYYY")&amp;"; Cost: "&amp;TEXT(Stratgegy_OBJ_2[[#This Row],[Cost]],"$#,##0")&amp;")"</f>
        <v>Regional Office Operational: Division registered with local staff hired enabling market presence and relationship building. (Objective targeted: Establish Southeast Asian Division; Date targeted: 31-Dec-2027; Cost: $5,000,000)</v>
      </c>
      <c r="J82" s="84"/>
      <c r="K82" s="84"/>
      <c r="L82" s="332"/>
      <c r="M82" s="332"/>
      <c r="N82" s="84"/>
      <c r="O82" s="84"/>
      <c r="P82" s="84"/>
      <c r="Q82" s="84"/>
      <c r="R82" s="84"/>
      <c r="S82" s="84"/>
      <c r="T82" s="84"/>
      <c r="U82" s="84"/>
      <c r="V82" s="84"/>
      <c r="W82" s="84"/>
      <c r="X82" s="84"/>
      <c r="Y82" s="84"/>
    </row>
    <row r="83" spans="1:25" s="144" customFormat="1" ht="34" customHeight="1" x14ac:dyDescent="0.2">
      <c r="A83" s="84"/>
      <c r="B83" s="147" t="s">
        <v>1660</v>
      </c>
      <c r="C83" s="147" t="s">
        <v>1642</v>
      </c>
      <c r="D83" s="147" t="s">
        <v>340</v>
      </c>
      <c r="E83" s="195" t="s">
        <v>1415</v>
      </c>
      <c r="F83" s="147" t="s">
        <v>1688</v>
      </c>
      <c r="G83" s="273">
        <v>46934</v>
      </c>
      <c r="H83" s="338">
        <v>2000000</v>
      </c>
      <c r="I83" s="195" t="str">
        <f>Stratgegy_OBJ_2[[#This Row],[Short Name]]&amp;": "&amp;Stratgegy_OBJ_2[[#This Row],[Description]]&amp;" (Objective targeted: "&amp;Stratgegy_OBJ_2[[#This Row],[Objective Targeted]]&amp;"; Date targeted: "&amp;TEXT(Stratgegy_OBJ_2[[#This Row],[Target Date]],"DD-MMM-YYYY")&amp;"; Cost: "&amp;TEXT(Stratgegy_OBJ_2[[#This Row],[Cost]],"$#,##0")&amp;")"</f>
        <v>FMS Capability Established: Government partnership processes operational enabling joint venture management for market access and contract awards. (Objective targeted: Establish Southeast Asian Division; Date targeted: 30-Jun-2028; Cost: $2,000,000)</v>
      </c>
      <c r="J83" s="84"/>
      <c r="K83" s="84"/>
      <c r="L83" s="332"/>
      <c r="M83" s="332"/>
      <c r="N83" s="84"/>
      <c r="O83" s="84"/>
      <c r="P83" s="84"/>
      <c r="Q83" s="84"/>
      <c r="R83" s="84"/>
      <c r="S83" s="84"/>
      <c r="T83" s="84"/>
      <c r="U83" s="84"/>
      <c r="V83" s="84"/>
      <c r="W83" s="84"/>
      <c r="X83" s="84"/>
      <c r="Y83" s="84"/>
    </row>
    <row r="84" spans="1:25" s="144" customFormat="1" ht="34" customHeight="1" x14ac:dyDescent="0.2">
      <c r="A84" s="84"/>
      <c r="B84" s="147" t="s">
        <v>1666</v>
      </c>
      <c r="C84" s="147" t="s">
        <v>1634</v>
      </c>
      <c r="D84" s="147" t="s">
        <v>340</v>
      </c>
      <c r="E84" s="195" t="s">
        <v>1423</v>
      </c>
      <c r="F84" s="147" t="s">
        <v>1689</v>
      </c>
      <c r="G84" s="273">
        <v>47118</v>
      </c>
      <c r="H84" s="338">
        <v>1000000</v>
      </c>
      <c r="I84" s="195" t="str">
        <f>Stratgegy_OBJ_2[[#This Row],[Short Name]]&amp;": "&amp;Stratgegy_OBJ_2[[#This Row],[Description]]&amp;" (Objective targeted: "&amp;Stratgegy_OBJ_2[[#This Row],[Objective Targeted]]&amp;"; Date targeted: "&amp;TEXT(Stratgegy_OBJ_2[[#This Row],[Target Date]],"DD-MMM-YYYY")&amp;"; Cost: "&amp;TEXT(Stratgegy_OBJ_2[[#This Row],[Cost]],"$#,##0")&amp;")"</f>
        <v>First Export License Approved: State Department grants initial ITAR/FMS approval establishing legal foundation for market access. (Objective targeted: Secure Favorable Regulatory Environment; Date targeted: 31-Dec-2028; Cost: $1,000,000)</v>
      </c>
      <c r="J84" s="84"/>
      <c r="K84" s="84"/>
      <c r="L84" s="332"/>
      <c r="M84" s="332"/>
      <c r="N84" s="84"/>
      <c r="O84" s="84"/>
      <c r="P84" s="84"/>
      <c r="Q84" s="84"/>
      <c r="R84" s="84"/>
      <c r="S84" s="84"/>
      <c r="T84" s="84"/>
      <c r="U84" s="84"/>
      <c r="V84" s="84"/>
      <c r="W84" s="84"/>
      <c r="X84" s="84"/>
      <c r="Y84" s="84"/>
    </row>
    <row r="85" spans="1:25" s="144" customFormat="1" ht="34" customHeight="1" x14ac:dyDescent="0.2">
      <c r="A85" s="84"/>
      <c r="B85" s="147" t="s">
        <v>1663</v>
      </c>
      <c r="C85" s="147" t="s">
        <v>1645</v>
      </c>
      <c r="D85" s="147" t="s">
        <v>340</v>
      </c>
      <c r="E85" s="195" t="s">
        <v>1423</v>
      </c>
      <c r="F85" s="147" t="s">
        <v>1690</v>
      </c>
      <c r="G85" s="273">
        <v>47299</v>
      </c>
      <c r="H85" s="333">
        <v>2500000</v>
      </c>
      <c r="I85" s="195" t="str">
        <f>Stratgegy_OBJ_2[[#This Row],[Short Name]]&amp;": "&amp;Stratgegy_OBJ_2[[#This Row],[Description]]&amp;" (Objective targeted: "&amp;Stratgegy_OBJ_2[[#This Row],[Objective Targeted]]&amp;"; Date targeted: "&amp;TEXT(Stratgegy_OBJ_2[[#This Row],[Target Date]],"DD-MMM-YYYY")&amp;"; Cost: "&amp;TEXT(Stratgegy_OBJ_2[[#This Row],[Cost]],"$#,##0")&amp;")"</f>
        <v>Congressional Advocacy Program Established: Government relations framework operational with key committee relationships established supporting favorable regulatory treatment. (Objective targeted: Secure Favorable Regulatory Environment; Date targeted: 30-Jun-2029; Cost: $2,500,000)</v>
      </c>
      <c r="J85" s="84"/>
      <c r="K85" s="84"/>
      <c r="L85" s="332"/>
      <c r="M85" s="332"/>
      <c r="N85" s="84"/>
      <c r="O85" s="84"/>
      <c r="P85" s="84"/>
      <c r="Q85" s="84"/>
      <c r="R85" s="84"/>
      <c r="S85" s="84"/>
      <c r="T85" s="84"/>
      <c r="U85" s="84"/>
      <c r="V85" s="84"/>
      <c r="W85" s="84"/>
      <c r="X85" s="84"/>
      <c r="Y85" s="84"/>
    </row>
    <row r="86" spans="1:25" s="144" customFormat="1" ht="34" customHeight="1" x14ac:dyDescent="0.2">
      <c r="B86" s="279" t="s">
        <v>1661</v>
      </c>
      <c r="C86" s="147" t="s">
        <v>1646</v>
      </c>
      <c r="D86" s="147" t="s">
        <v>340</v>
      </c>
      <c r="E86" s="195" t="s">
        <v>1423</v>
      </c>
      <c r="F86" s="147" t="s">
        <v>1691</v>
      </c>
      <c r="G86" s="273">
        <v>47483</v>
      </c>
      <c r="H86" s="333">
        <v>1000000</v>
      </c>
      <c r="I86" s="195" t="str">
        <f>Stratgegy_OBJ_2[[#This Row],[Short Name]]&amp;": "&amp;Stratgegy_OBJ_2[[#This Row],[Description]]&amp;" (Objective targeted: "&amp;Stratgegy_OBJ_2[[#This Row],[Objective Targeted]]&amp;"; Date targeted: "&amp;TEXT(Stratgegy_OBJ_2[[#This Row],[Target Date]],"DD-MMM-YYYY")&amp;"; Cost: "&amp;TEXT(Stratgegy_OBJ_2[[#This Row],[Cost]],"$#,##0")&amp;")"</f>
        <v>Streamlined Approval Process Validated: Second export license approved within 18-month timeline confirming process improvements and relationship effectiveness. (Objective targeted: Secure Favorable Regulatory Environment; Date targeted: 31-Dec-2029; Cost: $1,000,000)</v>
      </c>
      <c r="J86" s="84"/>
      <c r="K86" s="84"/>
      <c r="L86" s="332"/>
      <c r="M86" s="332"/>
      <c r="N86" s="84"/>
      <c r="O86" s="84"/>
      <c r="P86" s="84"/>
      <c r="Q86" s="84"/>
      <c r="R86" s="84"/>
      <c r="S86" s="84"/>
      <c r="T86" s="84"/>
      <c r="U86" s="84"/>
      <c r="V86" s="84"/>
      <c r="W86" s="84"/>
      <c r="X86" s="84"/>
      <c r="Y86" s="84"/>
    </row>
    <row r="87" spans="1:25" s="144" customFormat="1" ht="34" customHeight="1" x14ac:dyDescent="0.2">
      <c r="A87" s="84"/>
      <c r="B87" s="147" t="s">
        <v>1657</v>
      </c>
      <c r="C87" s="147" t="s">
        <v>1669</v>
      </c>
      <c r="D87" s="147" t="s">
        <v>340</v>
      </c>
      <c r="E87" s="195" t="s">
        <v>1414</v>
      </c>
      <c r="F87" s="147" t="s">
        <v>1692</v>
      </c>
      <c r="G87" s="273">
        <v>47664</v>
      </c>
      <c r="H87" s="333">
        <v>2000000</v>
      </c>
      <c r="I87" s="195" t="str">
        <f>Stratgegy_OBJ_2[[#This Row],[Short Name]]&amp;": "&amp;Stratgegy_OBJ_2[[#This Row],[Description]]&amp;" (Objective targeted: "&amp;Stratgegy_OBJ_2[[#This Row],[Objective Targeted]]&amp;"; Date targeted: "&amp;TEXT(Stratgegy_OBJ_2[[#This Row],[Target Date]],"DD-MMM-YYYY")&amp;"; Cost: "&amp;TEXT(Stratgegy_OBJ_2[[#This Row],[Cost]],"$#,##0")&amp;")"</f>
        <v>DoD Endorsement Obtained: New vehicle program is supported by regional U.S. military leadership for preferential consideration in security cooperation plans. (Objective targeted: Gain U.S. Military Advocacy; Date targeted: 30-Jun-2030; Cost: $2,000,000)</v>
      </c>
      <c r="J87" s="84"/>
      <c r="K87" s="84"/>
      <c r="L87" s="332"/>
      <c r="M87" s="332"/>
      <c r="N87" s="84"/>
      <c r="O87" s="84"/>
      <c r="P87" s="84"/>
      <c r="Q87" s="84"/>
      <c r="R87" s="84"/>
      <c r="S87" s="84"/>
      <c r="T87" s="84"/>
      <c r="U87" s="84"/>
      <c r="V87" s="84"/>
      <c r="W87" s="84"/>
      <c r="X87" s="84"/>
      <c r="Y87" s="84"/>
    </row>
    <row r="88" spans="1:25" s="144" customFormat="1" ht="34" customHeight="1" x14ac:dyDescent="0.2">
      <c r="A88" s="84"/>
      <c r="B88" s="147" t="s">
        <v>1659</v>
      </c>
      <c r="C88" s="147" t="s">
        <v>1654</v>
      </c>
      <c r="D88" s="147" t="s">
        <v>340</v>
      </c>
      <c r="E88" s="195" t="s">
        <v>1414</v>
      </c>
      <c r="F88" s="147" t="s">
        <v>1693</v>
      </c>
      <c r="G88" s="273">
        <v>47483</v>
      </c>
      <c r="H88" s="333">
        <v>1000000</v>
      </c>
      <c r="I88" s="195" t="str">
        <f>Stratgegy_OBJ_2[[#This Row],[Short Name]]&amp;": "&amp;Stratgegy_OBJ_2[[#This Row],[Description]]&amp;" (Objective targeted: "&amp;Stratgegy_OBJ_2[[#This Row],[Objective Targeted]]&amp;"; Date targeted: "&amp;TEXT(Stratgegy_OBJ_2[[#This Row],[Target Date]],"DD-MMM-YYYY")&amp;"; Cost: "&amp;TEXT(Stratgegy_OBJ_2[[#This Row],[Cost]],"$#,##0")&amp;")"</f>
        <v>Service Branch Endorsement Obtained: Military end-user testimonials documented demonstrating operational performance and building advocacy within DoD customer base. (Objective targeted: Gain U.S. Military Advocacy; Date targeted: 31-Dec-2029; Cost: $1,000,000)</v>
      </c>
      <c r="J88" s="84"/>
      <c r="K88" s="84"/>
      <c r="L88" s="332"/>
      <c r="M88" s="332"/>
      <c r="N88" s="84"/>
      <c r="O88" s="84"/>
      <c r="P88" s="84"/>
      <c r="Q88" s="84"/>
      <c r="R88" s="84"/>
      <c r="S88" s="84"/>
      <c r="T88" s="84"/>
      <c r="U88" s="84"/>
      <c r="V88" s="84"/>
      <c r="W88" s="84"/>
      <c r="X88" s="84"/>
      <c r="Y88" s="84"/>
    </row>
    <row r="89" spans="1:25" s="144" customFormat="1" ht="34" customHeight="1" x14ac:dyDescent="0.2">
      <c r="A89" s="84"/>
      <c r="B89" s="147" t="s">
        <v>1385</v>
      </c>
      <c r="C89" s="147" t="s">
        <v>1637</v>
      </c>
      <c r="D89" s="147" t="s">
        <v>340</v>
      </c>
      <c r="E89" s="195" t="s">
        <v>1416</v>
      </c>
      <c r="F89" s="147" t="s">
        <v>1694</v>
      </c>
      <c r="G89" s="273">
        <v>46752</v>
      </c>
      <c r="H89" s="333">
        <v>1500000</v>
      </c>
      <c r="I89" s="195" t="str">
        <f>Stratgegy_OBJ_2[[#This Row],[Short Name]]&amp;": "&amp;Stratgegy_OBJ_2[[#This Row],[Description]]&amp;" (Objective targeted: "&amp;Stratgegy_OBJ_2[[#This Row],[Objective Targeted]]&amp;"; Date targeted: "&amp;TEXT(Stratgegy_OBJ_2[[#This Row],[Target Date]],"DD-MMM-YYYY")&amp;"; Cost: "&amp;TEXT(Stratgegy_OBJ_2[[#This Row],[Cost]],"$#,##0")&amp;")"</f>
        <v>Export Compliance Office Operational: Dedicated function staffed with ITAR/FMS expertise protecting regulatory approval and organizational reputation. (Objective targeted: Establish Export Compliance Office; Date targeted: 31-Dec-2027; Cost: $1,500,000)</v>
      </c>
      <c r="J89" s="84"/>
      <c r="K89" s="84"/>
      <c r="L89" s="332"/>
      <c r="M89" s="332"/>
      <c r="N89" s="84"/>
      <c r="O89" s="84"/>
      <c r="P89" s="84"/>
      <c r="Q89" s="84"/>
      <c r="R89" s="84"/>
      <c r="S89" s="84"/>
      <c r="T89" s="84"/>
      <c r="U89" s="84"/>
      <c r="V89" s="84"/>
      <c r="W89" s="84"/>
      <c r="X89" s="84"/>
      <c r="Y89" s="84"/>
    </row>
    <row r="90" spans="1:25" s="144" customFormat="1" ht="34" customHeight="1" x14ac:dyDescent="0.2">
      <c r="A90" s="84"/>
      <c r="B90" s="591" t="s">
        <v>1658</v>
      </c>
      <c r="C90" s="147" t="s">
        <v>1649</v>
      </c>
      <c r="D90" s="147" t="s">
        <v>340</v>
      </c>
      <c r="E90" s="195" t="s">
        <v>1416</v>
      </c>
      <c r="F90" s="147" t="s">
        <v>1695</v>
      </c>
      <c r="G90" s="273">
        <v>46934</v>
      </c>
      <c r="H90" s="333">
        <v>1000000</v>
      </c>
      <c r="I90" s="195" t="str">
        <f>Stratgegy_OBJ_2[[#This Row],[Short Name]]&amp;": "&amp;Stratgegy_OBJ_2[[#This Row],[Description]]&amp;" (Objective targeted: "&amp;Stratgegy_OBJ_2[[#This Row],[Objective Targeted]]&amp;"; Date targeted: "&amp;TEXT(Stratgegy_OBJ_2[[#This Row],[Target Date]],"DD-MMM-YYYY")&amp;"; Cost: "&amp;TEXT(Stratgegy_OBJ_2[[#This Row],[Cost]],"$#,##0")&amp;")"</f>
        <v>FCPA Training Program Deployed: Comprehensive anti-corruption program operational with employee certification protecting organization from enforcement actions and market exclusion. (Objective targeted: Establish Export Compliance Office; Date targeted: 30-Jun-2028; Cost: $1,000,000)</v>
      </c>
      <c r="J90" s="84"/>
      <c r="K90" s="84"/>
      <c r="L90" s="332"/>
      <c r="M90" s="332"/>
      <c r="N90" s="84"/>
      <c r="O90" s="84"/>
      <c r="P90" s="84"/>
      <c r="Q90" s="84"/>
      <c r="R90" s="84"/>
      <c r="S90" s="84"/>
      <c r="T90" s="84"/>
      <c r="U90" s="84"/>
      <c r="V90" s="84"/>
      <c r="W90" s="84"/>
      <c r="X90" s="84"/>
      <c r="Y90" s="84"/>
    </row>
    <row r="91" spans="1:25" s="144" customFormat="1" ht="34" customHeight="1" x14ac:dyDescent="0.2">
      <c r="A91" s="147"/>
      <c r="B91" s="112" t="s">
        <v>1452</v>
      </c>
      <c r="C91" s="147" t="s">
        <v>1650</v>
      </c>
      <c r="D91" s="147" t="s">
        <v>340</v>
      </c>
      <c r="E91" s="195" t="s">
        <v>1412</v>
      </c>
      <c r="F91" s="147" t="s">
        <v>1696</v>
      </c>
      <c r="G91" s="273">
        <v>46934</v>
      </c>
      <c r="H91" s="333">
        <v>15000000</v>
      </c>
      <c r="I91" s="195" t="str">
        <f>Stratgegy_OBJ_2[[#This Row],[Short Name]]&amp;": "&amp;Stratgegy_OBJ_2[[#This Row],[Description]]&amp;" (Objective targeted: "&amp;Stratgegy_OBJ_2[[#This Row],[Objective Targeted]]&amp;"; Date targeted: "&amp;TEXT(Stratgegy_OBJ_2[[#This Row],[Target Date]],"DD-MMM-YYYY")&amp;"; Cost: "&amp;TEXT(Stratgegy_OBJ_2[[#This Row],[Cost]],"$#,##0")&amp;")"</f>
        <v>Automation Design Complete: Factory automation specifications finalized with vendor selection and capital approval enabling implementation timeline. (Objective targeted: Automate Production Systems; Date targeted: 30-Jun-2028; Cost: $15,000,000)</v>
      </c>
      <c r="J91" s="84"/>
      <c r="K91" s="84"/>
      <c r="L91" s="332"/>
      <c r="M91" s="332"/>
      <c r="N91" s="84"/>
      <c r="O91" s="84"/>
      <c r="P91" s="84"/>
      <c r="Q91" s="84"/>
      <c r="R91" s="84"/>
      <c r="S91" s="84"/>
      <c r="T91" s="84"/>
      <c r="U91" s="84"/>
      <c r="V91" s="84"/>
      <c r="W91" s="84"/>
      <c r="X91" s="84"/>
      <c r="Y91" s="84"/>
    </row>
    <row r="92" spans="1:25" s="144" customFormat="1" ht="34" customHeight="1" x14ac:dyDescent="0.2">
      <c r="A92" s="147"/>
      <c r="B92" s="112" t="s">
        <v>1667</v>
      </c>
      <c r="C92" s="147" t="s">
        <v>1651</v>
      </c>
      <c r="D92" s="147" t="s">
        <v>340</v>
      </c>
      <c r="E92" s="195" t="s">
        <v>1412</v>
      </c>
      <c r="F92" s="147" t="s">
        <v>1697</v>
      </c>
      <c r="G92" s="273">
        <v>47664</v>
      </c>
      <c r="H92" s="333">
        <v>8000000</v>
      </c>
      <c r="I92" s="195" t="str">
        <f>Stratgegy_OBJ_2[[#This Row],[Short Name]]&amp;": "&amp;Stratgegy_OBJ_2[[#This Row],[Description]]&amp;" (Objective targeted: "&amp;Stratgegy_OBJ_2[[#This Row],[Objective Targeted]]&amp;"; Date targeted: "&amp;TEXT(Stratgegy_OBJ_2[[#This Row],[Target Date]],"DD-MMM-YYYY")&amp;"; Cost: "&amp;TEXT(Stratgegy_OBJ_2[[#This Row],[Cost]],"$#,##0")&amp;")"</f>
        <v>Workforce Transition Program Launched: Employee reskilling initiative operational preparing workforce for automated production roles and minimizing disruption. (Objective targeted: Automate Production Systems; Date targeted: 30-Jun-2030; Cost: $8,000,000)</v>
      </c>
      <c r="J92" s="84"/>
      <c r="K92" s="84"/>
      <c r="L92" s="332"/>
      <c r="M92" s="332"/>
      <c r="N92" s="84"/>
      <c r="O92" s="84"/>
      <c r="P92" s="84"/>
      <c r="Q92" s="84"/>
      <c r="R92" s="84"/>
      <c r="S92" s="84"/>
      <c r="T92" s="84"/>
      <c r="U92" s="84"/>
      <c r="V92" s="84"/>
      <c r="W92" s="84"/>
      <c r="X92" s="84"/>
      <c r="Y92" s="84"/>
    </row>
    <row r="93" spans="1:25" s="144" customFormat="1" ht="34" customHeight="1" x14ac:dyDescent="0.2">
      <c r="A93" s="147"/>
      <c r="B93" s="112" t="s">
        <v>1668</v>
      </c>
      <c r="C93" s="147" t="s">
        <v>1638</v>
      </c>
      <c r="D93" s="147" t="s">
        <v>340</v>
      </c>
      <c r="E93" s="195" t="s">
        <v>1412</v>
      </c>
      <c r="F93" s="147" t="s">
        <v>1698</v>
      </c>
      <c r="G93" s="273">
        <v>47848</v>
      </c>
      <c r="H93" s="333">
        <v>155000000</v>
      </c>
      <c r="I93" s="195" t="str">
        <f>Stratgegy_OBJ_2[[#This Row],[Short Name]]&amp;": "&amp;Stratgegy_OBJ_2[[#This Row],[Description]]&amp;" (Objective targeted: "&amp;Stratgegy_OBJ_2[[#This Row],[Objective Targeted]]&amp;"; Date targeted: "&amp;TEXT(Stratgegy_OBJ_2[[#This Row],[Target Date]],"DD-MMM-YYYY")&amp;"; Cost: "&amp;TEXT(Stratgegy_OBJ_2[[#This Row],[Cost]],"$#,##0")&amp;")"</f>
        <v>Production Automation Deployed: Robotic manufacturing lines operational enabling dual-market scalability without proportional workforce expansion. (Objective targeted: Automate Production Systems; Date targeted: 31-Dec-2030; Cost: $155,000,000)</v>
      </c>
      <c r="J93" s="84"/>
      <c r="K93" s="84"/>
      <c r="L93" s="332"/>
      <c r="M93" s="332"/>
      <c r="N93" s="84"/>
      <c r="O93" s="84"/>
      <c r="P93" s="84"/>
      <c r="Q93" s="84"/>
      <c r="R93" s="84"/>
      <c r="S93" s="84"/>
      <c r="T93" s="84"/>
      <c r="U93" s="84"/>
      <c r="V93" s="84"/>
      <c r="W93" s="84"/>
      <c r="X93" s="84"/>
      <c r="Y93" s="84"/>
    </row>
    <row r="94" spans="1:25" s="144" customFormat="1" ht="34" customHeight="1" x14ac:dyDescent="0.2">
      <c r="A94" s="84"/>
      <c r="B94" s="147" t="s">
        <v>1699</v>
      </c>
      <c r="C94" s="147" t="s">
        <v>1640</v>
      </c>
      <c r="D94" s="147" t="s">
        <v>340</v>
      </c>
      <c r="E94" s="195" t="s">
        <v>1411</v>
      </c>
      <c r="F94" s="147" t="s">
        <v>1641</v>
      </c>
      <c r="G94" s="273">
        <v>46477</v>
      </c>
      <c r="H94" s="333">
        <v>4000000</v>
      </c>
      <c r="I94" s="195" t="str">
        <f>Stratgegy_OBJ_2[[#This Row],[Short Name]]&amp;": "&amp;Stratgegy_OBJ_2[[#This Row],[Description]]&amp;" (Objective targeted: "&amp;Stratgegy_OBJ_2[[#This Row],[Objective Targeted]]&amp;"; Date targeted: "&amp;TEXT(Stratgegy_OBJ_2[[#This Row],[Target Date]],"DD-MMM-YYYY")&amp;"; Cost: "&amp;TEXT(Stratgegy_OBJ_2[[#This Row],[Cost]],"$#,##0")&amp;")"</f>
        <v>Made-in-America Campaign Launched: Congressional engagement and media strategy operational reinforcing domestic manufacturing commitment and competitive differentiation (Objective targeted: Maintain Made-in America Brand; Date targeted: 31-Mar-2027; Cost: $4,000,000)</v>
      </c>
      <c r="J94" s="84"/>
      <c r="K94" s="84"/>
      <c r="L94" s="332"/>
      <c r="M94" s="332"/>
      <c r="N94" s="84"/>
      <c r="O94" s="84"/>
      <c r="P94" s="84"/>
      <c r="Q94" s="84"/>
      <c r="R94" s="84"/>
      <c r="S94" s="84"/>
      <c r="T94" s="84"/>
      <c r="U94" s="84"/>
      <c r="V94" s="84"/>
      <c r="W94" s="84"/>
      <c r="X94" s="84"/>
      <c r="Y94" s="84"/>
    </row>
    <row r="95" spans="1:25" x14ac:dyDescent="0.2">
      <c r="B95" s="147"/>
      <c r="C95" s="135"/>
      <c r="D95" s="142"/>
      <c r="E95" s="275"/>
      <c r="F95" s="135"/>
      <c r="G95" s="276"/>
      <c r="H95" s="275"/>
      <c r="L95" s="332"/>
      <c r="M95" s="332"/>
    </row>
    <row r="96" spans="1:25" x14ac:dyDescent="0.2">
      <c r="A96" s="326"/>
      <c r="B96" s="172"/>
      <c r="C96" s="172"/>
      <c r="F96" s="172"/>
      <c r="G96" s="285"/>
      <c r="H96" s="144"/>
    </row>
    <row r="97" spans="1:9" x14ac:dyDescent="0.2">
      <c r="A97" s="325"/>
      <c r="B97" s="311" t="s">
        <v>1404</v>
      </c>
      <c r="C97" s="311"/>
      <c r="D97" s="311"/>
      <c r="E97" s="320"/>
      <c r="F97" s="311"/>
      <c r="G97" s="324"/>
      <c r="H97" s="329"/>
      <c r="I97" s="226"/>
    </row>
    <row r="98" spans="1:9" x14ac:dyDescent="0.2">
      <c r="B98" s="322" t="s">
        <v>40</v>
      </c>
      <c r="C98" s="144" t="s">
        <v>1703</v>
      </c>
      <c r="D98" s="219" t="s">
        <v>128</v>
      </c>
      <c r="E98" s="219" t="s">
        <v>1714</v>
      </c>
      <c r="F98" s="219" t="s">
        <v>172</v>
      </c>
      <c r="G98" s="265" t="s">
        <v>595</v>
      </c>
      <c r="H98" s="331" t="s">
        <v>1702</v>
      </c>
      <c r="I98" s="345" t="s">
        <v>174</v>
      </c>
    </row>
    <row r="99" spans="1:9" ht="34" customHeight="1" x14ac:dyDescent="0.2">
      <c r="A99" s="325"/>
      <c r="B99" s="330" t="s">
        <v>2170</v>
      </c>
      <c r="C99" s="147" t="s">
        <v>1711</v>
      </c>
      <c r="D99" s="147" t="s">
        <v>1706</v>
      </c>
      <c r="E99" s="142" t="s">
        <v>1997</v>
      </c>
      <c r="F99" s="142" t="s">
        <v>1733</v>
      </c>
      <c r="G99" s="197">
        <v>47848</v>
      </c>
      <c r="H99" s="335">
        <f>H84+H85+H86+H89+H90</f>
        <v>7000000</v>
      </c>
      <c r="I99" s="286" t="str">
        <f>Stratgegy_KeyActivity[[#This Row],[Short Name]]&amp;" ("&amp;Stratgegy_KeyActivity[[#This Row],[Type]]&amp;"): "&amp;Stratgegy_KeyActivity[[#This Row],[Description]]&amp;" (Strategic Goal targeted: "&amp;Stratgegy_KeyActivity[[#This Row],[Objectives (&amp; Milestones) Targeted]]&amp;"; Date targeted: "&amp;TEXT(Stratgegy_KeyActivity[[#This Row],[Target Date]],"DD-MMM-YYYY")&amp;"; Cost: "&amp;TEXT(Stratgegy_KeyActivity[[#This Row],[Cost]],"$#,##0")&amp;")"</f>
        <v>Regulatory Compliance Program (Initiative): Compliance team will secure export approvals and conduct FCPA training and advocacy to support market access by Dec-2030. (Strategic Goal targeted: 7(q, s, r); 9(v, w); Date targeted: 31-Dec-2030; Cost: $7,000,000)</v>
      </c>
    </row>
    <row r="100" spans="1:9" ht="34" customHeight="1" x14ac:dyDescent="0.2">
      <c r="B100" s="330" t="s">
        <v>2171</v>
      </c>
      <c r="C100" s="147" t="s">
        <v>1712</v>
      </c>
      <c r="D100" s="147" t="s">
        <v>1706</v>
      </c>
      <c r="E100" s="142" t="s">
        <v>1715</v>
      </c>
      <c r="F100" s="142" t="s">
        <v>1734</v>
      </c>
      <c r="G100" s="197">
        <v>48944</v>
      </c>
      <c r="H100" s="335">
        <f>H75+H76+H77+H78+H82+H83+H87+H88</f>
        <v>66000000</v>
      </c>
      <c r="I100" s="286" t="str">
        <f>Stratgegy_KeyActivity[[#This Row],[Short Name]]&amp;" ("&amp;Stratgegy_KeyActivity[[#This Row],[Type]]&amp;"): "&amp;Stratgegy_KeyActivity[[#This Row],[Description]]&amp;" (Strategic Goal targeted: "&amp;Stratgegy_KeyActivity[[#This Row],[Objectives (&amp; Milestones) Targeted]]&amp;"; Date targeted: "&amp;TEXT(Stratgegy_KeyActivity[[#This Row],[Target Date]],"DD-MMM-YYYY")&amp;"; Cost: "&amp;TEXT(Stratgegy_KeyActivity[[#This Row],[Cost]],"$#,##0")&amp;")"</f>
        <v>SE Asia Market Program (Initiative): Business development team will form the SE Asia Division to build partner network encompassing joint ventures and advocacy to support market entry by Dec 2033. (Strategic Goal targeted: 4(h, i, j, k); 6(o, p); 8(u, t); Date targeted: 31-Dec-2033; Cost: $66,000,000)</v>
      </c>
    </row>
    <row r="101" spans="1:9" ht="34" customHeight="1" x14ac:dyDescent="0.2">
      <c r="A101" s="326"/>
      <c r="B101" s="330" t="s">
        <v>2172</v>
      </c>
      <c r="C101" s="147" t="s">
        <v>1713</v>
      </c>
      <c r="D101" s="147" t="s">
        <v>1706</v>
      </c>
      <c r="E101" s="142" t="s">
        <v>1716</v>
      </c>
      <c r="F101" s="142" t="s">
        <v>1735</v>
      </c>
      <c r="G101" s="197">
        <v>48944</v>
      </c>
      <c r="H101" s="335">
        <f>H79+H80+H81</f>
        <v>62500000</v>
      </c>
      <c r="I101" s="286" t="str">
        <f>Stratgegy_KeyActivity[[#This Row],[Short Name]]&amp;" ("&amp;Stratgegy_KeyActivity[[#This Row],[Type]]&amp;"): "&amp;Stratgegy_KeyActivity[[#This Row],[Description]]&amp;" (Strategic Goal targeted: "&amp;Stratgegy_KeyActivity[[#This Row],[Objectives (&amp; Milestones) Targeted]]&amp;"; Date targeted: "&amp;TEXT(Stratgegy_KeyActivity[[#This Row],[Target Date]],"DD-MMM-YYYY")&amp;"; Cost: "&amp;TEXT(Stratgegy_KeyActivity[[#This Row],[Cost]],"$#,##0")&amp;")"</f>
        <v>Climate Vehicle Development Program (Initiative): R&amp;D team will deploy Climate-Adapted Vehicle FOC incorporating tropical engineering to support Southeast Asian market credibility by Dec 2033. (Strategic Goal targeted: 5(l, m, n); Date targeted: 31-Dec-2033; Cost: $62,500,000)</v>
      </c>
    </row>
    <row r="102" spans="1:9" ht="34" customHeight="1" x14ac:dyDescent="0.2">
      <c r="A102" s="325"/>
      <c r="B102" s="330" t="s">
        <v>2173</v>
      </c>
      <c r="C102" s="147" t="s">
        <v>1708</v>
      </c>
      <c r="D102" s="147" t="s">
        <v>1706</v>
      </c>
      <c r="E102" s="142" t="s">
        <v>1717</v>
      </c>
      <c r="F102" s="142" t="s">
        <v>1736</v>
      </c>
      <c r="G102" s="197">
        <v>48579</v>
      </c>
      <c r="H102" s="335">
        <f>H91+H92+H93</f>
        <v>178000000</v>
      </c>
      <c r="I102" s="286" t="str">
        <f>Stratgegy_KeyActivity[[#This Row],[Short Name]]&amp;" ("&amp;Stratgegy_KeyActivity[[#This Row],[Type]]&amp;"): "&amp;Stratgegy_KeyActivity[[#This Row],[Description]]&amp;" (Strategic Goal targeted: "&amp;Stratgegy_KeyActivity[[#This Row],[Objectives (&amp; Milestones) Targeted]]&amp;"; Date targeted: "&amp;TEXT(Stratgegy_KeyActivity[[#This Row],[Target Date]],"DD-MMM-YYYY")&amp;"; Cost: "&amp;TEXT(Stratgegy_KeyActivity[[#This Row],[Cost]],"$#,##0")&amp;")"</f>
        <v>Production Automation Initiative (Initiative): Operations team will deploy Production Automation with robotic installation and workforce transition to support dual-market capacity by Dec 2032. (Strategic Goal targeted: 10 (y, x, z); Date targeted: 31-Dec-2032; Cost: $178,000,000)</v>
      </c>
    </row>
    <row r="103" spans="1:9" ht="34" customHeight="1" x14ac:dyDescent="0.2">
      <c r="B103" s="330" t="s">
        <v>2174</v>
      </c>
      <c r="C103" s="147" t="s">
        <v>1709</v>
      </c>
      <c r="D103" s="147" t="s">
        <v>1706</v>
      </c>
      <c r="E103" s="142" t="s">
        <v>1996</v>
      </c>
      <c r="F103" s="142" t="s">
        <v>1737</v>
      </c>
      <c r="G103" s="197">
        <v>48760</v>
      </c>
      <c r="H103" s="335">
        <f>H68+H69+H70+H71</f>
        <v>100000000</v>
      </c>
      <c r="I103" s="286" t="str">
        <f>Stratgegy_KeyActivity[[#This Row],[Short Name]]&amp;" ("&amp;Stratgegy_KeyActivity[[#This Row],[Type]]&amp;"): "&amp;Stratgegy_KeyActivity[[#This Row],[Description]]&amp;" (Strategic Goal targeted: "&amp;Stratgegy_KeyActivity[[#This Row],[Objectives (&amp; Milestones) Targeted]]&amp;"; Date targeted: "&amp;TEXT(Stratgegy_KeyActivity[[#This Row],[Target Date]],"DD-MMM-YYYY")&amp;"; Cost: "&amp;TEXT(Stratgegy_KeyActivity[[#This Row],[Cost]],"$#,##0")&amp;")"</f>
        <v>Next-Gen Vehicle Program (Initiative): R&amp;D team will achieve Next-Gen Vehicle FOC with AI-enabled platform integration to support U.S. DoD dominance by Jun 2033. (Strategic Goal targeted: 1 (a, b, c, d); Date targeted: 30-Jun-2033; Cost: $100,000,000)</v>
      </c>
    </row>
    <row r="104" spans="1:9" ht="34" customHeight="1" x14ac:dyDescent="0.2">
      <c r="A104" s="325"/>
      <c r="B104" s="330" t="s">
        <v>2175</v>
      </c>
      <c r="C104" s="147" t="s">
        <v>1707</v>
      </c>
      <c r="D104" s="147" t="s">
        <v>1706</v>
      </c>
      <c r="E104" s="142" t="s">
        <v>1718</v>
      </c>
      <c r="F104" s="142" t="s">
        <v>1738</v>
      </c>
      <c r="G104" s="197">
        <v>47848</v>
      </c>
      <c r="H104" s="335">
        <f>H72+H73+H74</f>
        <v>12500000</v>
      </c>
      <c r="I104" s="286" t="str">
        <f>Stratgegy_KeyActivity[[#This Row],[Short Name]]&amp;" ("&amp;Stratgegy_KeyActivity[[#This Row],[Type]]&amp;"): "&amp;Stratgegy_KeyActivity[[#This Row],[Description]]&amp;" (Strategic Goal targeted: "&amp;Stratgegy_KeyActivity[[#This Row],[Objectives (&amp; Milestones) Targeted]]&amp;"; Date targeted: "&amp;TEXT(Stratgegy_KeyActivity[[#This Row],[Target Date]],"DD-MMM-YYYY")&amp;"; Cost: "&amp;TEXT(Stratgegy_KeyActivity[[#This Row],[Cost]],"$#,##0")&amp;")"</f>
        <v>Cyber Defense Program (Initiative): IT security team will validate Incident Response Plan with CMMC certification and monitoring to protect IP by Dec 2030. (Strategic Goal targeted: 3(e, f, g); Date targeted: 31-Dec-2030; Cost: $12,500,000)</v>
      </c>
    </row>
    <row r="105" spans="1:9" ht="34" customHeight="1" x14ac:dyDescent="0.2">
      <c r="B105" s="330" t="s">
        <v>2176</v>
      </c>
      <c r="C105" s="142" t="s">
        <v>1704</v>
      </c>
      <c r="D105" s="147" t="s">
        <v>1403</v>
      </c>
      <c r="E105" s="142" t="s">
        <v>1719</v>
      </c>
      <c r="F105" s="142" t="s">
        <v>1710</v>
      </c>
      <c r="G105" s="197" t="s">
        <v>1705</v>
      </c>
      <c r="H105" s="335">
        <f>H94</f>
        <v>4000000</v>
      </c>
      <c r="I105" s="286" t="str">
        <f>Stratgegy_KeyActivity[[#This Row],[Short Name]]&amp;" ("&amp;Stratgegy_KeyActivity[[#This Row],[Type]]&amp;"): "&amp;Stratgegy_KeyActivity[[#This Row],[Description]]&amp;" (Strategic Goal targeted: "&amp;Stratgegy_KeyActivity[[#This Row],[Objectives (&amp; Milestones) Targeted]]&amp;"; Date targeted: "&amp;TEXT(Stratgegy_KeyActivity[[#This Row],[Target Date]],"DD-MMM-YYYY")&amp;"; Cost: "&amp;TEXT(Stratgegy_KeyActivity[[#This Row],[Cost]],"$#,##0")&amp;")"</f>
        <v>Made-in-America Brand Program (Sustainment): Marketing team will sustain brand identity continuously by Congressional engagement and media campaigns to support DoD contract preference. (Strategic Goal targeted: 2 (za); Date targeted: Ongoing; Cost: $4,000,000)</v>
      </c>
    </row>
    <row r="106" spans="1:9" x14ac:dyDescent="0.2">
      <c r="C106" s="172"/>
      <c r="F106" s="172"/>
      <c r="G106" s="285"/>
    </row>
    <row r="108" spans="1:9" x14ac:dyDescent="0.2">
      <c r="B108" s="311" t="s">
        <v>600</v>
      </c>
      <c r="C108" s="311"/>
      <c r="D108" s="311"/>
      <c r="E108" s="320"/>
      <c r="F108" s="311"/>
      <c r="G108" s="324"/>
      <c r="H108" s="329"/>
      <c r="I108" s="226"/>
    </row>
    <row r="109" spans="1:9" x14ac:dyDescent="0.2">
      <c r="B109" s="327" t="s">
        <v>40</v>
      </c>
      <c r="C109" s="144" t="s">
        <v>1703</v>
      </c>
      <c r="D109" s="328" t="s">
        <v>128</v>
      </c>
      <c r="E109" s="219" t="s">
        <v>1405</v>
      </c>
      <c r="F109" s="219" t="s">
        <v>172</v>
      </c>
      <c r="G109" s="265" t="s">
        <v>595</v>
      </c>
      <c r="H109" s="344" t="s">
        <v>2085</v>
      </c>
      <c r="I109" s="345" t="s">
        <v>174</v>
      </c>
    </row>
    <row r="110" spans="1:9" ht="34" customHeight="1" x14ac:dyDescent="0.2">
      <c r="B110" s="147" t="s">
        <v>1381</v>
      </c>
      <c r="C110" s="142" t="s">
        <v>1720</v>
      </c>
      <c r="D110" s="147"/>
      <c r="E110" s="176" t="s">
        <v>1711</v>
      </c>
      <c r="F110" s="135" t="s">
        <v>1739</v>
      </c>
      <c r="G110" s="197" t="s">
        <v>1705</v>
      </c>
      <c r="H110" s="272"/>
      <c r="I110" s="195" t="str">
        <f>Stratgegy_MOP[[#This Row],[Short Name]]&amp;": "&amp;Stratgegy_MOP[[#This Row],[Description]]&amp;" (Strategic Goal targeted: "&amp;Stratgegy_MOP[[#This Row],[Key Activity Targeted]]&amp;"; Date targeted: "&amp;TEXT(Stratgegy_MOP[[#This Row],[Target Date]],"DD-MMM-YYYY")&amp;")"</f>
        <v>Compliance Office Staffing: Compliance office staffing as measured through the number of ITAR/FMS experts hired on Dec 2027 that will enable license processing. (Strategic Goal targeted: Regulatory Compliance Program; Date targeted: Ongoing)</v>
      </c>
    </row>
    <row r="111" spans="1:9" ht="34" customHeight="1" x14ac:dyDescent="0.2">
      <c r="B111" s="147" t="s">
        <v>1382</v>
      </c>
      <c r="C111" s="142" t="s">
        <v>1721</v>
      </c>
      <c r="D111" s="147"/>
      <c r="E111" s="176" t="s">
        <v>1711</v>
      </c>
      <c r="F111" s="135" t="s">
        <v>1740</v>
      </c>
      <c r="G111" s="197" t="s">
        <v>1705</v>
      </c>
      <c r="H111" s="272"/>
      <c r="I111" s="195" t="str">
        <f>Stratgegy_MOP[[#This Row],[Short Name]]&amp;": "&amp;Stratgegy_MOP[[#This Row],[Description]]&amp;" (Strategic Goal targeted: "&amp;Stratgegy_MOP[[#This Row],[Key Activity Targeted]]&amp;"; Date targeted: "&amp;TEXT(Stratgegy_MOP[[#This Row],[Target Date]],"DD-MMM-YYYY")&amp;")"</f>
        <v>FCPA Training Completion: FCPA training completion as measured through the number of employee certifications issued on Jun 2028 that will confirm compliance readiness. (Strategic Goal targeted: Regulatory Compliance Program; Date targeted: Ongoing)</v>
      </c>
    </row>
    <row r="112" spans="1:9" ht="34" customHeight="1" x14ac:dyDescent="0.2">
      <c r="B112" s="147" t="s">
        <v>1383</v>
      </c>
      <c r="C112" s="142" t="s">
        <v>1722</v>
      </c>
      <c r="D112" s="147"/>
      <c r="E112" s="176" t="s">
        <v>1712</v>
      </c>
      <c r="F112" s="135" t="s">
        <v>1743</v>
      </c>
      <c r="G112" s="197" t="s">
        <v>1705</v>
      </c>
      <c r="H112" s="272"/>
      <c r="I112" s="195" t="str">
        <f>Stratgegy_MOP[[#This Row],[Short Name]]&amp;": "&amp;Stratgegy_MOP[[#This Row],[Description]]&amp;" (Strategic Goal targeted: "&amp;Stratgegy_MOP[[#This Row],[Key Activity Targeted]]&amp;"; Date targeted: "&amp;TEXT(Stratgegy_MOP[[#This Row],[Target Date]],"DD-MMM-YYYY")&amp;")"</f>
        <v>Regional Office Establishment: Regional office operational status as measured through the number of local and headquarters staff hired on Dec 2027 that will enable market presence. (Strategic Goal targeted: SE Asia Market Program; Date targeted: Ongoing)</v>
      </c>
    </row>
    <row r="113" spans="2:9" ht="34" customHeight="1" x14ac:dyDescent="0.2">
      <c r="B113" s="147" t="s">
        <v>1384</v>
      </c>
      <c r="C113" s="142" t="s">
        <v>1723</v>
      </c>
      <c r="D113" s="147"/>
      <c r="E113" s="176" t="s">
        <v>1712</v>
      </c>
      <c r="F113" s="135" t="s">
        <v>1742</v>
      </c>
      <c r="G113" s="197" t="s">
        <v>1705</v>
      </c>
      <c r="H113" s="272"/>
      <c r="I113" s="195" t="str">
        <f>Stratgegy_MOP[[#This Row],[Short Name]]&amp;": "&amp;Stratgegy_MOP[[#This Row],[Description]]&amp;" (Strategic Goal targeted: "&amp;Stratgegy_MOP[[#This Row],[Key Activity Targeted]]&amp;"; Date targeted: "&amp;TEXT(Stratgegy_MOP[[#This Row],[Target Date]],"DD-MMM-YYYY")&amp;")"</f>
        <v>Partnership Agreements Progress: Partnership agreements progress as measured through the number of MOUs signed on Jun 2029 that will validate relationship approach. (Strategic Goal targeted: SE Asia Market Program; Date targeted: Ongoing)</v>
      </c>
    </row>
    <row r="114" spans="2:9" ht="34" customHeight="1" x14ac:dyDescent="0.2">
      <c r="B114" s="147" t="s">
        <v>1451</v>
      </c>
      <c r="C114" s="142" t="s">
        <v>1724</v>
      </c>
      <c r="D114" s="147"/>
      <c r="E114" s="286" t="s">
        <v>1713</v>
      </c>
      <c r="F114" s="135" t="s">
        <v>1744</v>
      </c>
      <c r="G114" s="197" t="s">
        <v>1705</v>
      </c>
      <c r="H114" s="272"/>
      <c r="I114" s="195" t="str">
        <f>Stratgegy_MOP[[#This Row],[Short Name]]&amp;": "&amp;Stratgegy_MOP[[#This Row],[Description]]&amp;" (Strategic Goal targeted: "&amp;Stratgegy_MOP[[#This Row],[Key Activity Targeted]]&amp;"; Date targeted: "&amp;TEXT(Stratgegy_MOP[[#This Row],[Target Date]],"DD-MMM-YYYY")&amp;")"</f>
        <v>Climate Prototype Progress: Prototype development as measured through the number of climate engineering milestones completed on Dec 2028 that will validate design specifications. (Strategic Goal targeted: Climate Vehicle Development Program; Date targeted: Ongoing)</v>
      </c>
    </row>
    <row r="115" spans="2:9" ht="34" customHeight="1" x14ac:dyDescent="0.2">
      <c r="B115" s="147" t="s">
        <v>1385</v>
      </c>
      <c r="C115" s="142" t="s">
        <v>1725</v>
      </c>
      <c r="D115" s="147"/>
      <c r="E115" s="286" t="s">
        <v>1713</v>
      </c>
      <c r="F115" s="135" t="s">
        <v>1741</v>
      </c>
      <c r="G115" s="197" t="s">
        <v>1705</v>
      </c>
      <c r="H115" s="272"/>
      <c r="I115" s="195" t="str">
        <f>Stratgegy_MOP[[#This Row],[Short Name]]&amp;": "&amp;Stratgegy_MOP[[#This Row],[Description]]&amp;" (Strategic Goal targeted: "&amp;Stratgegy_MOP[[#This Row],[Key Activity Targeted]]&amp;"; Date targeted: "&amp;TEXT(Stratgegy_MOP[[#This Row],[Target Date]],"DD-MMM-YYYY")&amp;")"</f>
        <v>Tropical IOC Readiness: IOC readiness as measured through the number of tropical performance tests passed on Dec 2029 that will confirm production readiness. (Strategic Goal targeted: Climate Vehicle Development Program; Date targeted: Ongoing)</v>
      </c>
    </row>
    <row r="116" spans="2:9" ht="34" customHeight="1" x14ac:dyDescent="0.2">
      <c r="B116" s="147" t="s">
        <v>1448</v>
      </c>
      <c r="C116" s="142" t="s">
        <v>1726</v>
      </c>
      <c r="D116" s="147"/>
      <c r="E116" s="286" t="s">
        <v>1708</v>
      </c>
      <c r="F116" s="135" t="s">
        <v>1745</v>
      </c>
      <c r="G116" s="197" t="s">
        <v>1705</v>
      </c>
      <c r="H116" s="272"/>
      <c r="I116" s="195" t="str">
        <f>Stratgegy_MOP[[#This Row],[Short Name]]&amp;": "&amp;Stratgegy_MOP[[#This Row],[Description]]&amp;" (Strategic Goal targeted: "&amp;Stratgegy_MOP[[#This Row],[Key Activity Targeted]]&amp;"; Date targeted: "&amp;TEXT(Stratgegy_MOP[[#This Row],[Target Date]],"DD-MMM-YYYY")&amp;")"</f>
        <v>Automation Design Completion: Automation design as measured through the number of vendors selected and capital approvals on Jun 2028 that will enable installation. (Strategic Goal targeted: Production Automation Initiative; Date targeted: Ongoing)</v>
      </c>
    </row>
    <row r="117" spans="2:9" ht="34" customHeight="1" x14ac:dyDescent="0.2">
      <c r="B117" s="147" t="s">
        <v>1449</v>
      </c>
      <c r="C117" s="142" t="s">
        <v>1727</v>
      </c>
      <c r="D117" s="147"/>
      <c r="E117" s="286" t="s">
        <v>1708</v>
      </c>
      <c r="F117" s="135" t="s">
        <v>1751</v>
      </c>
      <c r="G117" s="197" t="s">
        <v>1705</v>
      </c>
      <c r="H117" s="272"/>
      <c r="I117" s="195" t="str">
        <f>Stratgegy_MOP[[#This Row],[Short Name]]&amp;": "&amp;Stratgegy_MOP[[#This Row],[Description]]&amp;" (Strategic Goal targeted: "&amp;Stratgegy_MOP[[#This Row],[Key Activity Targeted]]&amp;"; Date targeted: "&amp;TEXT(Stratgegy_MOP[[#This Row],[Target Date]],"DD-MMM-YYYY")&amp;")"</f>
        <v>Workforce Reskilling Progress: Workforce reskilling as measured through the number of employee certifications achieved on Jun 2030 that will minimize production disruption. (Strategic Goal targeted: Production Automation Initiative; Date targeted: Ongoing)</v>
      </c>
    </row>
    <row r="118" spans="2:9" ht="34" customHeight="1" x14ac:dyDescent="0.2">
      <c r="B118" s="147" t="s">
        <v>1450</v>
      </c>
      <c r="C118" s="142" t="s">
        <v>1728</v>
      </c>
      <c r="D118" s="147"/>
      <c r="E118" s="286" t="s">
        <v>1709</v>
      </c>
      <c r="F118" s="135" t="s">
        <v>1746</v>
      </c>
      <c r="G118" s="197" t="s">
        <v>1705</v>
      </c>
      <c r="H118" s="272"/>
      <c r="I118" s="195" t="str">
        <f>Stratgegy_MOP[[#This Row],[Short Name]]&amp;": "&amp;Stratgegy_MOP[[#This Row],[Description]]&amp;" (Strategic Goal targeted: "&amp;Stratgegy_MOP[[#This Row],[Key Activity Targeted]]&amp;"; Date targeted: "&amp;TEXT(Stratgegy_MOP[[#This Row],[Target Date]],"DD-MMM-YYYY")&amp;")"</f>
        <v>Next-Gen Prototype Progress: Prototype completion as measured through the number of R&amp;D milestones achieved on Dec 2029 that will validate platform readiness. (Strategic Goal targeted: Next-Gen Vehicle Program; Date targeted: Ongoing)</v>
      </c>
    </row>
    <row r="119" spans="2:9" ht="34" customHeight="1" x14ac:dyDescent="0.2">
      <c r="B119" s="147" t="s">
        <v>1452</v>
      </c>
      <c r="C119" s="142" t="s">
        <v>1729</v>
      </c>
      <c r="D119" s="147"/>
      <c r="E119" s="286" t="s">
        <v>1709</v>
      </c>
      <c r="F119" s="135" t="s">
        <v>1747</v>
      </c>
      <c r="G119" s="197" t="s">
        <v>1705</v>
      </c>
      <c r="H119" s="272"/>
      <c r="I119" s="195" t="str">
        <f>Stratgegy_MOP[[#This Row],[Short Name]]&amp;": "&amp;Stratgegy_MOP[[#This Row],[Description]]&amp;" (Strategic Goal targeted: "&amp;Stratgegy_MOP[[#This Row],[Key Activity Targeted]]&amp;"; Date targeted: "&amp;TEXT(Stratgegy_MOP[[#This Row],[Target Date]],"DD-MMM-YYYY")&amp;")"</f>
        <v>AI Integration Progress: AI systems integration as measured through the number of performance specifications met on Jun 2031 that will confirm competitive differentiation. (Strategic Goal targeted: Next-Gen Vehicle Program; Date targeted: Ongoing)</v>
      </c>
    </row>
    <row r="120" spans="2:9" ht="34" customHeight="1" x14ac:dyDescent="0.2">
      <c r="B120" s="147" t="s">
        <v>1453</v>
      </c>
      <c r="C120" s="142" t="s">
        <v>1730</v>
      </c>
      <c r="D120" s="147"/>
      <c r="E120" s="286" t="s">
        <v>1707</v>
      </c>
      <c r="F120" s="135" t="s">
        <v>1748</v>
      </c>
      <c r="G120" s="197" t="s">
        <v>1705</v>
      </c>
      <c r="H120" s="272"/>
      <c r="I120" s="195" t="str">
        <f>Stratgegy_MOP[[#This Row],[Short Name]]&amp;": "&amp;Stratgegy_MOP[[#This Row],[Description]]&amp;" (Strategic Goal targeted: "&amp;Stratgegy_MOP[[#This Row],[Key Activity Targeted]]&amp;"; Date targeted: "&amp;TEXT(Stratgegy_MOP[[#This Row],[Target Date]],"DD-MMM-YYYY")&amp;")"</f>
        <v>CMMC Certification Progress: CMMC certification as measured through the number of security controls implemented on Dec 2028 that will enable trusted partner status. (Strategic Goal targeted: Cyber Defense Program; Date targeted: Ongoing)</v>
      </c>
    </row>
    <row r="121" spans="2:9" ht="34" customHeight="1" x14ac:dyDescent="0.2">
      <c r="B121" s="147" t="s">
        <v>1454</v>
      </c>
      <c r="C121" s="142" t="s">
        <v>1731</v>
      </c>
      <c r="D121" s="147"/>
      <c r="E121" s="286" t="s">
        <v>1707</v>
      </c>
      <c r="F121" s="135" t="s">
        <v>1749</v>
      </c>
      <c r="G121" s="197" t="s">
        <v>1705</v>
      </c>
      <c r="H121" s="272"/>
      <c r="I121" s="195" t="str">
        <f>Stratgegy_MOP[[#This Row],[Short Name]]&amp;": "&amp;Stratgegy_MOP[[#This Row],[Description]]&amp;" (Strategic Goal targeted: "&amp;Stratgegy_MOP[[#This Row],[Key Activity Targeted]]&amp;"; Date targeted: "&amp;TEXT(Stratgegy_MOP[[#This Row],[Target Date]],"DD-MMM-YYYY")&amp;")"</f>
        <v>Cyber Resilience Validation: Incident response readiness as measured through the number of simulated breach test completed on Jun 2030 that will validate cyber resilience. (Strategic Goal targeted: Cyber Defense Program; Date targeted: Ongoing)</v>
      </c>
    </row>
    <row r="122" spans="2:9" ht="34" customHeight="1" x14ac:dyDescent="0.2">
      <c r="B122" s="147" t="s">
        <v>1455</v>
      </c>
      <c r="C122" s="142" t="s">
        <v>1732</v>
      </c>
      <c r="D122" s="147"/>
      <c r="E122" s="286" t="s">
        <v>1704</v>
      </c>
      <c r="F122" s="135" t="s">
        <v>1750</v>
      </c>
      <c r="G122" s="197" t="s">
        <v>1705</v>
      </c>
      <c r="H122" s="272"/>
      <c r="I122" s="195" t="str">
        <f>Stratgegy_MOP[[#This Row],[Short Name]]&amp;": "&amp;Stratgegy_MOP[[#This Row],[Description]]&amp;" (Strategic Goal targeted: "&amp;Stratgegy_MOP[[#This Row],[Key Activity Targeted]]&amp;"; Date targeted: "&amp;TEXT(Stratgegy_MOP[[#This Row],[Target Date]],"DD-MMM-YYYY")&amp;")"</f>
        <v>Brand Campaign Launch: Campaign launch progress as measured through the number of Congressional engagement completed on Mar 2027 that will reinforce brand identity. (Strategic Goal targeted: Made-in-America Brand Program; Date targeted: Ongoing)</v>
      </c>
    </row>
  </sheetData>
  <mergeCells count="11">
    <mergeCell ref="D8:F8"/>
    <mergeCell ref="D9:F9"/>
    <mergeCell ref="D10:F10"/>
    <mergeCell ref="D11:F11"/>
    <mergeCell ref="B1:F1"/>
    <mergeCell ref="D2:F2"/>
    <mergeCell ref="D3:F3"/>
    <mergeCell ref="D4:F4"/>
    <mergeCell ref="D5:F5"/>
    <mergeCell ref="D6:F6"/>
    <mergeCell ref="D7:F7"/>
  </mergeCells>
  <phoneticPr fontId="1" type="noConversion"/>
  <dataValidations count="5">
    <dataValidation type="list" allowBlank="1" showInputMessage="1" showErrorMessage="1" sqref="D20:E20 D41:E42 D96:E96" xr:uid="{80ED7B6B-EF23-ED40-9106-221CF37E17AB}">
      <formula1>#REF!</formula1>
    </dataValidation>
    <dataValidation type="list" allowBlank="1" showInputMessage="1" showErrorMessage="1" sqref="D23:D28 E31:E40" xr:uid="{FAD67CB3-23E6-2940-901A-4A03C9F9D161}">
      <formula1>$C$15:$C$18</formula1>
    </dataValidation>
    <dataValidation type="list" allowBlank="1" showInputMessage="1" showErrorMessage="1" sqref="E23:E28" xr:uid="{2492252B-AF43-3B4C-8260-C8169663DC2E}">
      <formula1>$E$15:$E$18</formula1>
    </dataValidation>
    <dataValidation type="list" allowBlank="1" showInputMessage="1" showErrorMessage="1" sqref="E44:E64 E68:E95" xr:uid="{AD4EEFAF-1115-164C-84D3-F5F9985C5468}">
      <formula1>$C$31:$C$40</formula1>
    </dataValidation>
    <dataValidation type="list" allowBlank="1" showInputMessage="1" showErrorMessage="1" sqref="E114:E122" xr:uid="{262D4FD1-59E4-8C4B-80A0-C84E357E9875}">
      <formula1>$C$99:$C$105</formula1>
    </dataValidation>
  </dataValidations>
  <pageMargins left="0.25" right="0.25" top="0.75" bottom="0.75" header="0.3" footer="0.3"/>
  <pageSetup scale="36" fitToHeight="3" orientation="landscape" horizontalDpi="0" verticalDpi="0"/>
  <ignoredErrors>
    <ignoredError sqref="B31:B40" numberStoredAsText="1"/>
  </ignoredErrors>
  <tableParts count="7">
    <tablePart r:id="rId1"/>
    <tablePart r:id="rId2"/>
    <tablePart r:id="rId3"/>
    <tablePart r:id="rId4"/>
    <tablePart r:id="rId5"/>
    <tablePart r:id="rId6"/>
    <tablePart r:id="rId7"/>
  </tableParts>
  <extLst>
    <ext xmlns:x14="http://schemas.microsoft.com/office/spreadsheetml/2009/9/main" uri="{CCE6A557-97BC-4b89-ADB6-D9C93CAAB3DF}">
      <x14:dataValidations xmlns:xm="http://schemas.microsoft.com/office/excel/2006/main" count="5">
        <x14:dataValidation type="list" allowBlank="1" showInputMessage="1" showErrorMessage="1" xr:uid="{4E7C0F01-B4F0-F847-868E-EFA11AE87821}">
          <x14:formula1>
            <xm:f>Lists!$CK$3:$CK$4</xm:f>
          </x14:formula1>
          <xm:sqref>D44:D64</xm:sqref>
        </x14:dataValidation>
        <x14:dataValidation type="list" allowBlank="1" showInputMessage="1" showErrorMessage="1" xr:uid="{1840EC67-DD77-8A49-B15C-9134C427DF06}">
          <x14:formula1>
            <xm:f>Lists!$CE$3:$CE$5</xm:f>
          </x14:formula1>
          <xm:sqref>D15:D20 D29 D66</xm:sqref>
        </x14:dataValidation>
        <x14:dataValidation type="list" allowBlank="1" showInputMessage="1" showErrorMessage="1" xr:uid="{D2A1927B-C35A-2F4A-B056-78964E2B48ED}">
          <x14:formula1>
            <xm:f>Lists!$CH$3:$CH$5</xm:f>
          </x14:formula1>
          <xm:sqref>D31:D40 D68:D90 D95</xm:sqref>
        </x14:dataValidation>
        <x14:dataValidation type="list" allowBlank="1" showInputMessage="1" showErrorMessage="1" xr:uid="{019AE522-4D0A-B346-A232-76AC82DB870B}">
          <x14:formula1>
            <xm:f>Lists!$CH$3:$CH$4</xm:f>
          </x14:formula1>
          <xm:sqref>D31:D40 D68:D90 D95</xm:sqref>
        </x14:dataValidation>
        <x14:dataValidation type="list" allowBlank="1" showInputMessage="1" showErrorMessage="1" xr:uid="{F69D8168-4348-3F45-B60E-216425401C13}">
          <x14:formula1>
            <xm:f>Lists!$CN$3:$CN$4</xm:f>
          </x14:formula1>
          <xm:sqref>D99:D105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28049-8BD9-844F-AEDE-C88F6EF1A8FB}">
  <sheetPr>
    <tabColor theme="9" tint="-0.499984740745262"/>
  </sheetPr>
  <dimension ref="A1:M59"/>
  <sheetViews>
    <sheetView workbookViewId="0"/>
  </sheetViews>
  <sheetFormatPr baseColWidth="10" defaultRowHeight="14" x14ac:dyDescent="0.2"/>
  <cols>
    <col min="1" max="1" width="16.6640625" style="21" bestFit="1" customWidth="1"/>
    <col min="2" max="2" width="45.83203125" style="20" customWidth="1"/>
    <col min="3" max="5" width="57" style="21" customWidth="1"/>
    <col min="6" max="16384" width="10.83203125" style="21"/>
  </cols>
  <sheetData>
    <row r="1" spans="1:13" ht="16" x14ac:dyDescent="0.2">
      <c r="A1" s="548" t="s">
        <v>1490</v>
      </c>
      <c r="B1" s="548"/>
      <c r="C1" s="548"/>
      <c r="D1" s="548"/>
      <c r="E1" s="548"/>
    </row>
    <row r="2" spans="1:13" ht="16" customHeight="1" x14ac:dyDescent="0.2">
      <c r="A2" s="549" t="s">
        <v>2284</v>
      </c>
      <c r="B2" s="549"/>
      <c r="C2" s="549"/>
      <c r="D2" s="549"/>
      <c r="E2" s="549"/>
      <c r="F2" s="84"/>
      <c r="G2" s="84"/>
      <c r="H2" s="84"/>
      <c r="I2" s="84"/>
      <c r="J2" s="84"/>
      <c r="K2" s="84"/>
      <c r="L2" s="84"/>
      <c r="M2" s="84"/>
    </row>
    <row r="3" spans="1:13" ht="16" x14ac:dyDescent="0.2">
      <c r="A3" s="185" t="s">
        <v>346</v>
      </c>
      <c r="B3" s="410" t="s">
        <v>63</v>
      </c>
      <c r="C3" s="184" t="s">
        <v>1491</v>
      </c>
      <c r="D3" s="184" t="s">
        <v>344</v>
      </c>
      <c r="E3" s="184" t="s">
        <v>345</v>
      </c>
      <c r="F3" s="84"/>
      <c r="G3" s="84"/>
      <c r="H3" s="84"/>
      <c r="I3" s="84"/>
      <c r="J3" s="84"/>
      <c r="K3" s="84"/>
      <c r="L3" s="84"/>
      <c r="M3" s="84"/>
    </row>
    <row r="4" spans="1:13" ht="32" x14ac:dyDescent="0.2">
      <c r="A4" s="194" t="s">
        <v>17</v>
      </c>
      <c r="B4" s="135" t="s">
        <v>1492</v>
      </c>
      <c r="C4" s="135" t="s">
        <v>1493</v>
      </c>
      <c r="D4" s="135" t="s">
        <v>1494</v>
      </c>
      <c r="E4" s="135" t="s">
        <v>1527</v>
      </c>
      <c r="F4" s="84"/>
      <c r="G4" s="84"/>
      <c r="H4" s="84"/>
      <c r="I4" s="84"/>
      <c r="J4" s="84"/>
      <c r="K4" s="84"/>
      <c r="L4" s="84"/>
      <c r="M4" s="84"/>
    </row>
    <row r="5" spans="1:13" ht="32" x14ac:dyDescent="0.2">
      <c r="A5" s="194" t="s">
        <v>18</v>
      </c>
      <c r="B5" s="135" t="s">
        <v>1495</v>
      </c>
      <c r="C5" s="135" t="s">
        <v>1496</v>
      </c>
      <c r="D5" s="135" t="s">
        <v>1497</v>
      </c>
      <c r="E5" s="135" t="s">
        <v>1498</v>
      </c>
      <c r="F5" s="84"/>
      <c r="G5" s="84"/>
      <c r="H5" s="84"/>
      <c r="I5" s="84"/>
      <c r="J5" s="84"/>
      <c r="K5" s="84"/>
      <c r="L5" s="84"/>
      <c r="M5" s="84"/>
    </row>
    <row r="6" spans="1:13" ht="32" x14ac:dyDescent="0.2">
      <c r="A6" s="194" t="s">
        <v>26</v>
      </c>
      <c r="B6" s="135" t="s">
        <v>1499</v>
      </c>
      <c r="C6" s="135" t="s">
        <v>1500</v>
      </c>
      <c r="D6" s="135" t="s">
        <v>1501</v>
      </c>
      <c r="E6" s="135" t="s">
        <v>1502</v>
      </c>
      <c r="F6" s="84"/>
      <c r="G6" s="84"/>
      <c r="H6" s="84"/>
      <c r="I6" s="84"/>
      <c r="J6" s="84"/>
      <c r="K6" s="84"/>
      <c r="L6" s="84"/>
      <c r="M6" s="84"/>
    </row>
    <row r="7" spans="1:13" ht="32" x14ac:dyDescent="0.2">
      <c r="A7" s="194" t="s">
        <v>19</v>
      </c>
      <c r="B7" s="135" t="s">
        <v>1503</v>
      </c>
      <c r="C7" s="135" t="s">
        <v>1504</v>
      </c>
      <c r="D7" s="135" t="s">
        <v>1505</v>
      </c>
      <c r="E7" s="135" t="s">
        <v>1506</v>
      </c>
      <c r="F7" s="84"/>
      <c r="G7" s="84"/>
      <c r="H7" s="84"/>
      <c r="I7" s="84"/>
      <c r="J7" s="84"/>
      <c r="K7" s="84"/>
      <c r="L7" s="84"/>
      <c r="M7" s="84"/>
    </row>
    <row r="8" spans="1:13" ht="32" x14ac:dyDescent="0.2">
      <c r="A8" s="194" t="s">
        <v>20</v>
      </c>
      <c r="B8" s="135" t="s">
        <v>1507</v>
      </c>
      <c r="C8" s="135" t="s">
        <v>1508</v>
      </c>
      <c r="D8" s="135" t="s">
        <v>1509</v>
      </c>
      <c r="E8" s="135" t="s">
        <v>1510</v>
      </c>
      <c r="F8" s="84"/>
      <c r="G8" s="84"/>
      <c r="H8" s="84"/>
      <c r="I8" s="84"/>
      <c r="J8" s="84"/>
      <c r="K8" s="84"/>
      <c r="L8" s="84"/>
      <c r="M8" s="84"/>
    </row>
    <row r="9" spans="1:13" ht="32" x14ac:dyDescent="0.2">
      <c r="A9" s="194" t="s">
        <v>21</v>
      </c>
      <c r="B9" s="135" t="s">
        <v>1511</v>
      </c>
      <c r="C9" s="135" t="s">
        <v>1512</v>
      </c>
      <c r="D9" s="135" t="s">
        <v>1513</v>
      </c>
      <c r="E9" s="135" t="s">
        <v>1514</v>
      </c>
      <c r="F9" s="84"/>
      <c r="G9" s="84"/>
      <c r="H9" s="84"/>
      <c r="I9" s="84"/>
      <c r="J9" s="84"/>
      <c r="K9" s="84"/>
      <c r="L9" s="84"/>
      <c r="M9" s="84"/>
    </row>
    <row r="10" spans="1:13" ht="32" x14ac:dyDescent="0.2">
      <c r="A10" s="194" t="s">
        <v>22</v>
      </c>
      <c r="B10" s="135" t="s">
        <v>1515</v>
      </c>
      <c r="C10" s="135" t="s">
        <v>1516</v>
      </c>
      <c r="D10" s="135" t="s">
        <v>1517</v>
      </c>
      <c r="E10" s="135" t="s">
        <v>1518</v>
      </c>
      <c r="F10" s="84"/>
      <c r="G10" s="84"/>
      <c r="H10" s="84"/>
      <c r="I10" s="84"/>
      <c r="J10" s="84"/>
      <c r="K10" s="84"/>
      <c r="L10" s="84"/>
      <c r="M10" s="84"/>
    </row>
    <row r="11" spans="1:13" ht="32" x14ac:dyDescent="0.2">
      <c r="A11" s="194" t="s">
        <v>23</v>
      </c>
      <c r="B11" s="135" t="s">
        <v>1519</v>
      </c>
      <c r="C11" s="135" t="s">
        <v>1520</v>
      </c>
      <c r="D11" s="135" t="s">
        <v>1521</v>
      </c>
      <c r="E11" s="135" t="s">
        <v>1522</v>
      </c>
      <c r="F11" s="84"/>
      <c r="G11" s="84"/>
      <c r="H11" s="84"/>
      <c r="I11" s="84"/>
      <c r="J11" s="84"/>
      <c r="K11" s="84"/>
      <c r="L11" s="84"/>
      <c r="M11" s="84"/>
    </row>
    <row r="12" spans="1:13" ht="32" x14ac:dyDescent="0.2">
      <c r="A12" s="194" t="s">
        <v>24</v>
      </c>
      <c r="B12" s="135" t="s">
        <v>1523</v>
      </c>
      <c r="C12" s="135" t="s">
        <v>1524</v>
      </c>
      <c r="D12" s="135" t="s">
        <v>1525</v>
      </c>
      <c r="E12" s="135" t="s">
        <v>1526</v>
      </c>
      <c r="F12" s="84"/>
      <c r="G12" s="84"/>
      <c r="H12" s="84"/>
      <c r="I12" s="84"/>
      <c r="J12" s="84"/>
      <c r="K12" s="84"/>
      <c r="L12" s="84"/>
      <c r="M12" s="84"/>
    </row>
    <row r="13" spans="1:13" ht="15" x14ac:dyDescent="0.2">
      <c r="A13" s="84"/>
      <c r="B13" s="135"/>
      <c r="C13" s="84"/>
      <c r="D13" s="84"/>
      <c r="E13" s="84"/>
      <c r="F13" s="84"/>
      <c r="G13" s="84"/>
      <c r="H13" s="84"/>
      <c r="I13" s="84"/>
      <c r="J13" s="84"/>
      <c r="K13" s="84"/>
      <c r="L13" s="84"/>
      <c r="M13" s="84"/>
    </row>
    <row r="14" spans="1:13" ht="15" x14ac:dyDescent="0.2">
      <c r="A14" s="84"/>
      <c r="B14" s="135"/>
      <c r="C14" s="84"/>
      <c r="D14" s="84"/>
      <c r="E14" s="84"/>
      <c r="F14" s="84"/>
      <c r="G14" s="84"/>
      <c r="H14" s="84"/>
      <c r="I14" s="84"/>
      <c r="J14" s="84"/>
      <c r="K14" s="84"/>
      <c r="L14" s="84"/>
      <c r="M14" s="84"/>
    </row>
    <row r="15" spans="1:13" ht="15" x14ac:dyDescent="0.2">
      <c r="A15" s="84"/>
      <c r="B15" s="135"/>
      <c r="C15" s="84"/>
      <c r="D15" s="84"/>
      <c r="E15" s="84"/>
      <c r="F15" s="84"/>
      <c r="G15" s="84"/>
      <c r="H15" s="84"/>
      <c r="I15" s="84"/>
      <c r="J15" s="84"/>
      <c r="K15" s="84"/>
      <c r="L15" s="84"/>
      <c r="M15" s="84"/>
    </row>
    <row r="16" spans="1:13" ht="15" x14ac:dyDescent="0.2">
      <c r="A16" s="84"/>
      <c r="B16" s="135"/>
      <c r="C16" s="84"/>
      <c r="D16" s="84"/>
      <c r="E16" s="84"/>
      <c r="F16" s="84"/>
      <c r="G16" s="84"/>
      <c r="H16" s="84"/>
      <c r="I16" s="84"/>
      <c r="J16" s="84"/>
      <c r="K16" s="84"/>
      <c r="L16" s="84"/>
      <c r="M16" s="84"/>
    </row>
    <row r="17" spans="1:13" ht="15" x14ac:dyDescent="0.2">
      <c r="A17" s="84"/>
      <c r="B17" s="135"/>
      <c r="C17" s="84"/>
      <c r="D17" s="84"/>
      <c r="E17" s="84"/>
      <c r="F17" s="84"/>
      <c r="G17" s="84"/>
      <c r="H17" s="84"/>
      <c r="I17" s="84"/>
      <c r="J17" s="84"/>
      <c r="K17" s="84"/>
      <c r="L17" s="84"/>
      <c r="M17" s="84"/>
    </row>
    <row r="18" spans="1:13" ht="15" x14ac:dyDescent="0.2">
      <c r="A18" s="84"/>
      <c r="B18" s="135"/>
      <c r="C18" s="84"/>
      <c r="D18" s="84"/>
      <c r="E18" s="84"/>
      <c r="F18" s="84"/>
      <c r="G18" s="84"/>
      <c r="H18" s="84"/>
      <c r="I18" s="84"/>
      <c r="J18" s="84"/>
      <c r="K18" s="84"/>
      <c r="L18" s="84"/>
      <c r="M18" s="84"/>
    </row>
    <row r="19" spans="1:13" ht="15" x14ac:dyDescent="0.2">
      <c r="A19" s="84"/>
      <c r="B19" s="135"/>
      <c r="C19" s="84"/>
      <c r="D19" s="84"/>
      <c r="E19" s="84"/>
      <c r="F19" s="84"/>
      <c r="G19" s="84"/>
      <c r="H19" s="84"/>
      <c r="I19" s="84"/>
      <c r="J19" s="84"/>
      <c r="K19" s="84"/>
      <c r="L19" s="84"/>
      <c r="M19" s="84"/>
    </row>
    <row r="20" spans="1:13" ht="15" x14ac:dyDescent="0.2">
      <c r="A20" s="84"/>
      <c r="B20" s="135"/>
      <c r="C20" s="84"/>
      <c r="D20" s="84"/>
      <c r="E20" s="84"/>
      <c r="F20" s="84"/>
      <c r="G20" s="84"/>
      <c r="H20" s="84"/>
      <c r="I20" s="84"/>
      <c r="J20" s="84"/>
      <c r="K20" s="84"/>
      <c r="L20" s="84"/>
      <c r="M20" s="84"/>
    </row>
    <row r="21" spans="1:13" ht="15" x14ac:dyDescent="0.2">
      <c r="A21" s="84"/>
      <c r="B21" s="135"/>
      <c r="C21" s="84"/>
      <c r="D21" s="84"/>
      <c r="E21" s="84"/>
      <c r="F21" s="84"/>
      <c r="G21" s="84"/>
      <c r="H21" s="84"/>
      <c r="I21" s="84"/>
      <c r="J21" s="84"/>
      <c r="K21" s="84"/>
      <c r="L21" s="84"/>
      <c r="M21" s="84"/>
    </row>
    <row r="22" spans="1:13" ht="15" x14ac:dyDescent="0.2">
      <c r="A22" s="84"/>
      <c r="B22" s="135"/>
      <c r="C22" s="84"/>
      <c r="D22" s="84"/>
      <c r="E22" s="84"/>
      <c r="F22" s="84"/>
      <c r="G22" s="84"/>
      <c r="H22" s="84"/>
      <c r="I22" s="84"/>
      <c r="J22" s="84"/>
      <c r="K22" s="84"/>
      <c r="L22" s="84"/>
      <c r="M22" s="84"/>
    </row>
    <row r="23" spans="1:13" ht="15" x14ac:dyDescent="0.2">
      <c r="A23" s="84"/>
      <c r="B23" s="135"/>
      <c r="C23" s="84"/>
      <c r="D23" s="84"/>
      <c r="E23" s="84"/>
      <c r="F23" s="84"/>
      <c r="G23" s="84"/>
      <c r="H23" s="84"/>
      <c r="I23" s="84"/>
      <c r="J23" s="84"/>
      <c r="K23" s="84"/>
      <c r="L23" s="84"/>
      <c r="M23" s="84"/>
    </row>
    <row r="24" spans="1:13" ht="15" x14ac:dyDescent="0.2">
      <c r="A24" s="84"/>
      <c r="B24" s="135"/>
      <c r="C24" s="84"/>
      <c r="D24" s="84"/>
      <c r="E24" s="84"/>
      <c r="F24" s="84"/>
      <c r="G24" s="84"/>
      <c r="H24" s="84"/>
      <c r="I24" s="84"/>
      <c r="J24" s="84"/>
      <c r="K24" s="84"/>
      <c r="L24" s="84"/>
      <c r="M24" s="84"/>
    </row>
    <row r="25" spans="1:13" ht="15" x14ac:dyDescent="0.2">
      <c r="A25" s="84"/>
      <c r="B25" s="135"/>
      <c r="C25" s="84"/>
      <c r="D25" s="84"/>
      <c r="E25" s="84"/>
      <c r="F25" s="84"/>
      <c r="G25" s="84"/>
      <c r="H25" s="84"/>
      <c r="I25" s="84"/>
      <c r="J25" s="84"/>
      <c r="K25" s="84"/>
      <c r="L25" s="84"/>
      <c r="M25" s="84"/>
    </row>
    <row r="26" spans="1:13" ht="15" x14ac:dyDescent="0.2">
      <c r="A26" s="84"/>
      <c r="B26" s="135"/>
      <c r="C26" s="84"/>
      <c r="D26" s="84"/>
      <c r="E26" s="84"/>
      <c r="F26" s="84"/>
      <c r="G26" s="84"/>
      <c r="H26" s="84"/>
      <c r="I26" s="84"/>
      <c r="J26" s="84"/>
      <c r="K26" s="84"/>
      <c r="L26" s="84"/>
      <c r="M26" s="84"/>
    </row>
    <row r="27" spans="1:13" ht="15" x14ac:dyDescent="0.2">
      <c r="A27" s="84"/>
      <c r="B27" s="135"/>
      <c r="C27" s="84"/>
      <c r="D27" s="84"/>
      <c r="E27" s="84"/>
      <c r="F27" s="84"/>
      <c r="G27" s="84"/>
      <c r="H27" s="84"/>
      <c r="I27" s="84"/>
      <c r="J27" s="84"/>
      <c r="K27" s="84"/>
      <c r="L27" s="84"/>
      <c r="M27" s="84"/>
    </row>
    <row r="28" spans="1:13" ht="15" x14ac:dyDescent="0.2">
      <c r="A28" s="84"/>
      <c r="B28" s="135"/>
      <c r="C28" s="84"/>
      <c r="D28" s="84"/>
      <c r="E28" s="84"/>
      <c r="F28" s="84"/>
      <c r="G28" s="84"/>
      <c r="H28" s="84"/>
      <c r="I28" s="84"/>
      <c r="J28" s="84"/>
      <c r="K28" s="84"/>
      <c r="L28" s="84"/>
      <c r="M28" s="84"/>
    </row>
    <row r="29" spans="1:13" ht="15" x14ac:dyDescent="0.2">
      <c r="A29" s="84"/>
      <c r="B29" s="135"/>
      <c r="C29" s="84"/>
      <c r="D29" s="84"/>
      <c r="E29" s="84"/>
      <c r="F29" s="84"/>
      <c r="G29" s="84"/>
      <c r="H29" s="84"/>
      <c r="I29" s="84"/>
      <c r="J29" s="84"/>
      <c r="K29" s="84"/>
      <c r="L29" s="84"/>
      <c r="M29" s="84"/>
    </row>
    <row r="30" spans="1:13" ht="15" x14ac:dyDescent="0.2">
      <c r="A30" s="84"/>
      <c r="B30" s="135"/>
      <c r="C30" s="84"/>
      <c r="D30" s="84"/>
      <c r="E30" s="84"/>
      <c r="F30" s="84"/>
      <c r="G30" s="84"/>
      <c r="H30" s="84"/>
      <c r="I30" s="84"/>
      <c r="J30" s="84"/>
      <c r="K30" s="84"/>
      <c r="L30" s="84"/>
      <c r="M30" s="84"/>
    </row>
    <row r="31" spans="1:13" ht="15" x14ac:dyDescent="0.2">
      <c r="A31" s="84"/>
      <c r="B31" s="135"/>
      <c r="C31" s="84"/>
      <c r="D31" s="84"/>
      <c r="E31" s="84"/>
      <c r="F31" s="84"/>
      <c r="G31" s="84"/>
      <c r="H31" s="84"/>
      <c r="I31" s="84"/>
      <c r="J31" s="84"/>
      <c r="K31" s="84"/>
      <c r="L31" s="84"/>
      <c r="M31" s="84"/>
    </row>
    <row r="32" spans="1:13" ht="15" x14ac:dyDescent="0.2">
      <c r="A32" s="84"/>
      <c r="B32" s="135"/>
      <c r="C32" s="84"/>
      <c r="D32" s="84"/>
      <c r="E32" s="84"/>
      <c r="F32" s="84"/>
      <c r="G32" s="84"/>
      <c r="H32" s="84"/>
      <c r="I32" s="84"/>
      <c r="J32" s="84"/>
      <c r="K32" s="84"/>
      <c r="L32" s="84"/>
      <c r="M32" s="84"/>
    </row>
    <row r="33" spans="1:13" ht="15" x14ac:dyDescent="0.2">
      <c r="A33" s="84"/>
      <c r="B33" s="135"/>
      <c r="C33" s="84"/>
      <c r="D33" s="84"/>
      <c r="E33" s="84"/>
      <c r="F33" s="84"/>
      <c r="G33" s="84"/>
      <c r="H33" s="84"/>
      <c r="I33" s="84"/>
      <c r="J33" s="84"/>
      <c r="K33" s="84"/>
      <c r="L33" s="84"/>
      <c r="M33" s="84"/>
    </row>
    <row r="34" spans="1:13" ht="15" x14ac:dyDescent="0.2">
      <c r="A34" s="84"/>
      <c r="B34" s="135"/>
      <c r="C34" s="84"/>
      <c r="D34" s="84"/>
      <c r="E34" s="84"/>
      <c r="F34" s="84"/>
      <c r="G34" s="84"/>
      <c r="H34" s="84"/>
      <c r="I34" s="84"/>
      <c r="J34" s="84"/>
      <c r="K34" s="84"/>
      <c r="L34" s="84"/>
      <c r="M34" s="84"/>
    </row>
    <row r="35" spans="1:13" ht="15" x14ac:dyDescent="0.2">
      <c r="A35" s="84"/>
      <c r="B35" s="135"/>
      <c r="C35" s="84"/>
      <c r="D35" s="84"/>
      <c r="E35" s="84"/>
      <c r="F35" s="84"/>
      <c r="G35" s="84"/>
      <c r="H35" s="84"/>
      <c r="I35" s="84"/>
      <c r="J35" s="84"/>
      <c r="K35" s="84"/>
      <c r="L35" s="84"/>
      <c r="M35" s="84"/>
    </row>
    <row r="36" spans="1:13" ht="15" x14ac:dyDescent="0.2">
      <c r="A36" s="84"/>
      <c r="B36" s="135"/>
      <c r="C36" s="84"/>
      <c r="D36" s="84"/>
      <c r="E36" s="84"/>
      <c r="F36" s="84"/>
      <c r="G36" s="84"/>
      <c r="H36" s="84"/>
      <c r="I36" s="84"/>
      <c r="J36" s="84"/>
      <c r="K36" s="84"/>
      <c r="L36" s="84"/>
      <c r="M36" s="84"/>
    </row>
    <row r="37" spans="1:13" ht="15" x14ac:dyDescent="0.2">
      <c r="A37" s="84"/>
      <c r="B37" s="135"/>
      <c r="C37" s="84"/>
      <c r="D37" s="84"/>
      <c r="E37" s="84"/>
      <c r="F37" s="84"/>
      <c r="G37" s="84"/>
      <c r="H37" s="84"/>
      <c r="I37" s="84"/>
      <c r="J37" s="84"/>
      <c r="K37" s="84"/>
      <c r="L37" s="84"/>
      <c r="M37" s="84"/>
    </row>
    <row r="38" spans="1:13" ht="15" x14ac:dyDescent="0.2">
      <c r="A38" s="84"/>
      <c r="B38" s="135"/>
      <c r="C38" s="84"/>
      <c r="D38" s="84"/>
      <c r="E38" s="84"/>
      <c r="F38" s="84"/>
      <c r="G38" s="84"/>
      <c r="H38" s="84"/>
      <c r="I38" s="84"/>
      <c r="J38" s="84"/>
      <c r="K38" s="84"/>
      <c r="L38" s="84"/>
      <c r="M38" s="84"/>
    </row>
    <row r="39" spans="1:13" ht="15" x14ac:dyDescent="0.2">
      <c r="A39" s="84"/>
      <c r="B39" s="135"/>
      <c r="C39" s="84"/>
      <c r="D39" s="84"/>
      <c r="E39" s="84"/>
      <c r="F39" s="84"/>
      <c r="G39" s="84"/>
      <c r="H39" s="84"/>
      <c r="I39" s="84"/>
      <c r="J39" s="84"/>
      <c r="K39" s="84"/>
      <c r="L39" s="84"/>
      <c r="M39" s="84"/>
    </row>
    <row r="40" spans="1:13" ht="15" x14ac:dyDescent="0.2">
      <c r="A40" s="84"/>
      <c r="B40" s="135"/>
      <c r="C40" s="84"/>
      <c r="D40" s="84"/>
      <c r="E40" s="84"/>
      <c r="F40" s="84"/>
      <c r="G40" s="84"/>
      <c r="H40" s="84"/>
      <c r="I40" s="84"/>
      <c r="J40" s="84"/>
      <c r="K40" s="84"/>
      <c r="L40" s="84"/>
      <c r="M40" s="84"/>
    </row>
    <row r="41" spans="1:13" ht="15" x14ac:dyDescent="0.2">
      <c r="A41" s="84"/>
      <c r="B41" s="135"/>
      <c r="C41" s="84"/>
      <c r="D41" s="84"/>
      <c r="E41" s="84"/>
      <c r="F41" s="84"/>
      <c r="G41" s="84"/>
      <c r="H41" s="84"/>
      <c r="I41" s="84"/>
      <c r="J41" s="84"/>
      <c r="K41" s="84"/>
      <c r="L41" s="84"/>
      <c r="M41" s="84"/>
    </row>
    <row r="42" spans="1:13" ht="15" x14ac:dyDescent="0.2">
      <c r="A42" s="84"/>
      <c r="B42" s="135"/>
      <c r="C42" s="84"/>
      <c r="D42" s="84"/>
      <c r="E42" s="84"/>
      <c r="F42" s="84"/>
      <c r="G42" s="84"/>
      <c r="H42" s="84"/>
      <c r="I42" s="84"/>
      <c r="J42" s="84"/>
      <c r="K42" s="84"/>
      <c r="L42" s="84"/>
      <c r="M42" s="84"/>
    </row>
    <row r="43" spans="1:13" ht="15" x14ac:dyDescent="0.2">
      <c r="A43" s="84"/>
      <c r="B43" s="135"/>
      <c r="C43" s="84"/>
      <c r="D43" s="84"/>
      <c r="E43" s="84"/>
      <c r="F43" s="84"/>
      <c r="G43" s="84"/>
      <c r="H43" s="84"/>
      <c r="I43" s="84"/>
      <c r="J43" s="84"/>
      <c r="K43" s="84"/>
      <c r="L43" s="84"/>
      <c r="M43" s="84"/>
    </row>
    <row r="44" spans="1:13" ht="15" x14ac:dyDescent="0.2">
      <c r="A44" s="84"/>
      <c r="B44" s="135"/>
      <c r="C44" s="84"/>
      <c r="D44" s="84"/>
      <c r="E44" s="84"/>
      <c r="F44" s="84"/>
      <c r="G44" s="84"/>
      <c r="H44" s="84"/>
      <c r="I44" s="84"/>
      <c r="J44" s="84"/>
      <c r="K44" s="84"/>
      <c r="L44" s="84"/>
      <c r="M44" s="84"/>
    </row>
    <row r="45" spans="1:13" ht="15" x14ac:dyDescent="0.2">
      <c r="A45" s="84"/>
      <c r="B45" s="135"/>
      <c r="C45" s="84"/>
      <c r="D45" s="84"/>
      <c r="E45" s="84"/>
      <c r="F45" s="84"/>
      <c r="G45" s="84"/>
      <c r="H45" s="84"/>
      <c r="I45" s="84"/>
      <c r="J45" s="84"/>
      <c r="K45" s="84"/>
      <c r="L45" s="84"/>
      <c r="M45" s="84"/>
    </row>
    <row r="46" spans="1:13" ht="15" x14ac:dyDescent="0.2">
      <c r="A46" s="84"/>
      <c r="B46" s="135"/>
      <c r="C46" s="84"/>
      <c r="D46" s="84"/>
      <c r="E46" s="84"/>
      <c r="F46" s="84"/>
      <c r="G46" s="84"/>
      <c r="H46" s="84"/>
      <c r="I46" s="84"/>
      <c r="J46" s="84"/>
      <c r="K46" s="84"/>
      <c r="L46" s="84"/>
      <c r="M46" s="84"/>
    </row>
    <row r="47" spans="1:13" ht="15" x14ac:dyDescent="0.2">
      <c r="A47" s="84"/>
      <c r="B47" s="135"/>
      <c r="C47" s="84"/>
      <c r="D47" s="84"/>
      <c r="E47" s="84"/>
      <c r="F47" s="84"/>
      <c r="G47" s="84"/>
      <c r="H47" s="84"/>
      <c r="I47" s="84"/>
      <c r="J47" s="84"/>
      <c r="K47" s="84"/>
      <c r="L47" s="84"/>
      <c r="M47" s="84"/>
    </row>
    <row r="48" spans="1:13" ht="15" x14ac:dyDescent="0.2">
      <c r="A48" s="84"/>
      <c r="B48" s="135"/>
      <c r="C48" s="84"/>
      <c r="D48" s="84"/>
      <c r="E48" s="84"/>
      <c r="F48" s="84"/>
      <c r="G48" s="84"/>
      <c r="H48" s="84"/>
      <c r="I48" s="84"/>
      <c r="J48" s="84"/>
      <c r="K48" s="84"/>
      <c r="L48" s="84"/>
      <c r="M48" s="84"/>
    </row>
    <row r="49" spans="1:13" ht="15" x14ac:dyDescent="0.2">
      <c r="A49" s="84"/>
      <c r="B49" s="135"/>
      <c r="C49" s="84"/>
      <c r="D49" s="84"/>
      <c r="E49" s="84"/>
      <c r="F49" s="84"/>
      <c r="G49" s="84"/>
      <c r="H49" s="84"/>
      <c r="I49" s="84"/>
      <c r="J49" s="84"/>
      <c r="K49" s="84"/>
      <c r="L49" s="84"/>
      <c r="M49" s="84"/>
    </row>
    <row r="50" spans="1:13" ht="15" x14ac:dyDescent="0.2">
      <c r="A50" s="84"/>
      <c r="B50" s="135"/>
      <c r="C50" s="84"/>
      <c r="D50" s="84"/>
      <c r="E50" s="84"/>
      <c r="F50" s="84"/>
      <c r="G50" s="84"/>
      <c r="H50" s="84"/>
      <c r="I50" s="84"/>
      <c r="J50" s="84"/>
      <c r="K50" s="84"/>
      <c r="L50" s="84"/>
      <c r="M50" s="84"/>
    </row>
    <row r="51" spans="1:13" ht="15" x14ac:dyDescent="0.2">
      <c r="A51" s="84"/>
      <c r="B51" s="135"/>
      <c r="C51" s="84"/>
      <c r="D51" s="84"/>
      <c r="E51" s="84"/>
      <c r="F51" s="84"/>
      <c r="G51" s="84"/>
      <c r="H51" s="84"/>
      <c r="I51" s="84"/>
      <c r="J51" s="84"/>
      <c r="K51" s="84"/>
      <c r="L51" s="84"/>
      <c r="M51" s="84"/>
    </row>
    <row r="52" spans="1:13" ht="15" x14ac:dyDescent="0.2">
      <c r="A52" s="84"/>
      <c r="B52" s="135"/>
      <c r="C52" s="84"/>
      <c r="D52" s="84"/>
      <c r="E52" s="84"/>
      <c r="F52" s="84"/>
      <c r="G52" s="84"/>
      <c r="H52" s="84"/>
      <c r="I52" s="84"/>
      <c r="J52" s="84"/>
      <c r="K52" s="84"/>
      <c r="L52" s="84"/>
      <c r="M52" s="84"/>
    </row>
    <row r="53" spans="1:13" ht="15" x14ac:dyDescent="0.2">
      <c r="A53" s="84"/>
      <c r="B53" s="135"/>
      <c r="C53" s="84"/>
      <c r="D53" s="84"/>
      <c r="E53" s="84"/>
      <c r="F53" s="84"/>
      <c r="G53" s="84"/>
      <c r="H53" s="84"/>
      <c r="I53" s="84"/>
      <c r="J53" s="84"/>
      <c r="K53" s="84"/>
      <c r="L53" s="84"/>
      <c r="M53" s="84"/>
    </row>
    <row r="54" spans="1:13" ht="15" x14ac:dyDescent="0.2">
      <c r="A54" s="84"/>
      <c r="B54" s="135"/>
      <c r="C54" s="84"/>
      <c r="D54" s="84"/>
      <c r="E54" s="84"/>
      <c r="F54" s="84"/>
      <c r="G54" s="84"/>
      <c r="H54" s="84"/>
      <c r="I54" s="84"/>
      <c r="J54" s="84"/>
      <c r="K54" s="84"/>
      <c r="L54" s="84"/>
      <c r="M54" s="84"/>
    </row>
    <row r="55" spans="1:13" ht="15" x14ac:dyDescent="0.2">
      <c r="A55" s="84"/>
      <c r="B55" s="135"/>
      <c r="C55" s="84"/>
      <c r="D55" s="84"/>
      <c r="E55" s="84"/>
      <c r="F55" s="84"/>
      <c r="G55" s="84"/>
      <c r="H55" s="84"/>
      <c r="I55" s="84"/>
      <c r="J55" s="84"/>
      <c r="K55" s="84"/>
      <c r="L55" s="84"/>
      <c r="M55" s="84"/>
    </row>
    <row r="56" spans="1:13" ht="15" x14ac:dyDescent="0.2">
      <c r="A56" s="84"/>
      <c r="B56" s="135"/>
      <c r="C56" s="84"/>
      <c r="D56" s="84"/>
      <c r="E56" s="84"/>
      <c r="F56" s="84"/>
      <c r="G56" s="84"/>
      <c r="H56" s="84"/>
      <c r="I56" s="84"/>
      <c r="J56" s="84"/>
      <c r="K56" s="84"/>
      <c r="L56" s="84"/>
      <c r="M56" s="84"/>
    </row>
    <row r="57" spans="1:13" ht="15" x14ac:dyDescent="0.2">
      <c r="A57" s="84"/>
      <c r="B57" s="135"/>
      <c r="C57" s="84"/>
      <c r="D57" s="84"/>
      <c r="E57" s="84"/>
      <c r="F57" s="84"/>
      <c r="G57" s="84"/>
      <c r="H57" s="84"/>
      <c r="I57" s="84"/>
      <c r="J57" s="84"/>
      <c r="K57" s="84"/>
      <c r="L57" s="84"/>
      <c r="M57" s="84"/>
    </row>
    <row r="58" spans="1:13" ht="15" x14ac:dyDescent="0.2">
      <c r="A58" s="84"/>
      <c r="B58" s="135"/>
      <c r="C58" s="84"/>
      <c r="D58" s="84"/>
      <c r="E58" s="84"/>
      <c r="F58" s="84"/>
      <c r="G58" s="84"/>
      <c r="H58" s="84"/>
      <c r="I58" s="84"/>
      <c r="J58" s="84"/>
      <c r="K58" s="84"/>
      <c r="L58" s="84"/>
      <c r="M58" s="84"/>
    </row>
    <row r="59" spans="1:13" ht="15" x14ac:dyDescent="0.2">
      <c r="A59" s="84"/>
      <c r="B59" s="135"/>
      <c r="C59" s="84"/>
      <c r="D59" s="84"/>
      <c r="E59" s="84"/>
      <c r="F59" s="84"/>
      <c r="G59" s="84"/>
      <c r="H59" s="84"/>
      <c r="I59" s="84"/>
      <c r="J59" s="84"/>
      <c r="K59" s="84"/>
      <c r="L59" s="84"/>
      <c r="M59" s="84"/>
    </row>
  </sheetData>
  <mergeCells count="2">
    <mergeCell ref="A1:E1"/>
    <mergeCell ref="A2:E2"/>
  </mergeCells>
  <pageMargins left="0.7" right="0.7" top="0.75" bottom="0.75" header="0.3" footer="0.3"/>
  <pageSetup orientation="portrait" horizontalDpi="0" verticalDpi="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A3DF2-F0ED-F14B-AA1F-CDDD58F0F5E8}">
  <sheetPr>
    <tabColor theme="9" tint="-0.499984740745262"/>
  </sheetPr>
  <dimension ref="A1:Q59"/>
  <sheetViews>
    <sheetView workbookViewId="0">
      <selection sqref="A1:E1"/>
    </sheetView>
  </sheetViews>
  <sheetFormatPr baseColWidth="10" defaultRowHeight="17" x14ac:dyDescent="0.25"/>
  <cols>
    <col min="1" max="1" width="37.1640625" style="119" customWidth="1"/>
    <col min="2" max="2" width="13" style="121" customWidth="1"/>
    <col min="3" max="4" width="11" style="119" customWidth="1"/>
    <col min="5" max="5" width="13" style="119" customWidth="1"/>
    <col min="6" max="6" width="10.83203125" style="119" customWidth="1"/>
    <col min="7" max="7" width="3.1640625" style="119" customWidth="1"/>
    <col min="8" max="8" width="10.83203125" style="119"/>
    <col min="9" max="9" width="3.1640625" style="119" customWidth="1"/>
    <col min="10" max="17" width="10.83203125" style="421"/>
    <col min="18" max="16384" width="10.83203125" style="119"/>
  </cols>
  <sheetData>
    <row r="1" spans="1:17" x14ac:dyDescent="0.25">
      <c r="A1" s="448" t="s">
        <v>143</v>
      </c>
      <c r="B1" s="448"/>
      <c r="C1" s="448"/>
      <c r="D1" s="448"/>
      <c r="E1" s="448"/>
      <c r="F1" s="448"/>
      <c r="J1" s="119"/>
      <c r="K1" s="119"/>
      <c r="L1" s="119"/>
      <c r="M1" s="119"/>
      <c r="N1" s="119"/>
      <c r="O1" s="119"/>
      <c r="P1" s="119"/>
      <c r="Q1" s="119"/>
    </row>
    <row r="2" spans="1:17" ht="15" x14ac:dyDescent="0.2">
      <c r="A2" s="470" t="s">
        <v>2284</v>
      </c>
      <c r="B2" s="470"/>
      <c r="C2" s="470"/>
      <c r="D2" s="470"/>
      <c r="E2" s="470"/>
      <c r="F2" s="470"/>
      <c r="J2" s="119"/>
      <c r="K2" s="119"/>
      <c r="L2" s="119"/>
      <c r="M2" s="119"/>
      <c r="N2" s="119"/>
      <c r="O2" s="119"/>
      <c r="P2" s="119"/>
      <c r="Q2" s="119"/>
    </row>
    <row r="3" spans="1:17" s="84" customFormat="1" ht="16" x14ac:dyDescent="0.2">
      <c r="A3" s="185" t="s">
        <v>347</v>
      </c>
      <c r="B3" s="184" t="s">
        <v>348</v>
      </c>
      <c r="C3" s="185" t="s">
        <v>352</v>
      </c>
      <c r="D3" s="185" t="s">
        <v>351</v>
      </c>
      <c r="E3" s="418" t="s">
        <v>170</v>
      </c>
      <c r="F3" s="419" t="s">
        <v>40</v>
      </c>
    </row>
    <row r="4" spans="1:17" ht="16" x14ac:dyDescent="0.2">
      <c r="A4" s="170" t="s">
        <v>1528</v>
      </c>
      <c r="B4" s="147" t="s">
        <v>350</v>
      </c>
      <c r="C4" s="193">
        <v>9</v>
      </c>
      <c r="D4" s="193">
        <v>10</v>
      </c>
      <c r="E4" s="186" t="str" cm="1">
        <f t="array" ref="E4">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Manage Closely</v>
      </c>
      <c r="F4" s="420">
        <f>_xlfn.XLOOKUP(Stakeholder[[#This Row],[Category]],StakeholderCategory[Category],StakeholderCategory['#])</f>
        <v>1</v>
      </c>
      <c r="J4" s="119"/>
      <c r="K4" s="119"/>
      <c r="L4" s="119"/>
      <c r="M4" s="119"/>
      <c r="N4" s="119"/>
      <c r="O4" s="119"/>
      <c r="P4" s="119"/>
      <c r="Q4" s="119"/>
    </row>
    <row r="5" spans="1:17" ht="16" x14ac:dyDescent="0.2">
      <c r="A5" s="170" t="s">
        <v>1529</v>
      </c>
      <c r="B5" s="147" t="s">
        <v>350</v>
      </c>
      <c r="C5" s="193">
        <v>10</v>
      </c>
      <c r="D5" s="193">
        <v>9</v>
      </c>
      <c r="E5" s="186" t="str" cm="1">
        <f t="array" ref="E5">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Manage Closely</v>
      </c>
      <c r="F5" s="420">
        <f>_xlfn.XLOOKUP(Stakeholder[[#This Row],[Category]],StakeholderCategory[Category],StakeholderCategory['#])</f>
        <v>1</v>
      </c>
      <c r="J5" s="119"/>
      <c r="K5" s="119"/>
      <c r="L5" s="119"/>
      <c r="M5" s="119"/>
      <c r="N5" s="119"/>
      <c r="O5" s="119"/>
      <c r="P5" s="119"/>
      <c r="Q5" s="119"/>
    </row>
    <row r="6" spans="1:17" ht="16" x14ac:dyDescent="0.2">
      <c r="A6" s="170" t="s">
        <v>1530</v>
      </c>
      <c r="B6" s="147" t="s">
        <v>349</v>
      </c>
      <c r="C6" s="193">
        <v>10</v>
      </c>
      <c r="D6" s="193">
        <v>10</v>
      </c>
      <c r="E6" s="186" t="str" cm="1">
        <f t="array" ref="E6">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Manage Closely</v>
      </c>
      <c r="F6" s="420">
        <f>_xlfn.XLOOKUP(Stakeholder[[#This Row],[Category]],StakeholderCategory[Category],StakeholderCategory['#])</f>
        <v>1</v>
      </c>
      <c r="J6" s="119"/>
      <c r="K6" s="119"/>
      <c r="L6" s="119"/>
      <c r="M6" s="119"/>
      <c r="N6" s="119"/>
      <c r="O6" s="119"/>
      <c r="P6" s="119"/>
      <c r="Q6" s="119"/>
    </row>
    <row r="7" spans="1:17" ht="16" x14ac:dyDescent="0.2">
      <c r="A7" s="170" t="s">
        <v>1531</v>
      </c>
      <c r="B7" s="147" t="s">
        <v>349</v>
      </c>
      <c r="C7" s="193">
        <v>8</v>
      </c>
      <c r="D7" s="193">
        <v>6</v>
      </c>
      <c r="E7" s="186" t="str" cm="1">
        <f t="array" ref="E7">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Manage Closely</v>
      </c>
      <c r="F7" s="420">
        <f>_xlfn.XLOOKUP(Stakeholder[[#This Row],[Category]],StakeholderCategory[Category],StakeholderCategory['#])</f>
        <v>1</v>
      </c>
      <c r="J7" s="119"/>
      <c r="K7" s="119"/>
      <c r="L7" s="119"/>
      <c r="M7" s="119"/>
      <c r="N7" s="119"/>
      <c r="O7" s="119"/>
      <c r="P7" s="119"/>
      <c r="Q7" s="119"/>
    </row>
    <row r="8" spans="1:17" ht="16" x14ac:dyDescent="0.2">
      <c r="A8" s="170" t="s">
        <v>1532</v>
      </c>
      <c r="B8" s="147" t="s">
        <v>350</v>
      </c>
      <c r="C8" s="193">
        <v>8</v>
      </c>
      <c r="D8" s="193">
        <v>9</v>
      </c>
      <c r="E8" s="186" t="str" cm="1">
        <f t="array" ref="E8">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Manage Closely</v>
      </c>
      <c r="F8" s="420">
        <f>_xlfn.XLOOKUP(Stakeholder[[#This Row],[Category]],StakeholderCategory[Category],StakeholderCategory['#])</f>
        <v>1</v>
      </c>
      <c r="J8" s="119"/>
      <c r="K8" s="119"/>
      <c r="L8" s="119"/>
      <c r="M8" s="119"/>
      <c r="N8" s="119"/>
      <c r="O8" s="119"/>
      <c r="P8" s="119"/>
      <c r="Q8" s="119"/>
    </row>
    <row r="9" spans="1:17" ht="16" x14ac:dyDescent="0.2">
      <c r="A9" s="170" t="s">
        <v>1534</v>
      </c>
      <c r="B9" s="147" t="s">
        <v>350</v>
      </c>
      <c r="C9" s="193">
        <v>9</v>
      </c>
      <c r="D9" s="193">
        <v>8</v>
      </c>
      <c r="E9" s="186" t="str" cm="1">
        <f t="array" ref="E9">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Manage Closely</v>
      </c>
      <c r="F9" s="420">
        <f>_xlfn.XLOOKUP(Stakeholder[[#This Row],[Category]],StakeholderCategory[Category],StakeholderCategory['#])</f>
        <v>1</v>
      </c>
      <c r="J9" s="119"/>
      <c r="K9" s="119"/>
      <c r="L9" s="119"/>
      <c r="M9" s="119"/>
      <c r="N9" s="119"/>
      <c r="O9" s="119"/>
      <c r="P9" s="119"/>
      <c r="Q9" s="119"/>
    </row>
    <row r="10" spans="1:17" ht="16" x14ac:dyDescent="0.2">
      <c r="A10" s="170" t="s">
        <v>1536</v>
      </c>
      <c r="B10" s="147" t="s">
        <v>350</v>
      </c>
      <c r="C10" s="193">
        <v>7</v>
      </c>
      <c r="D10" s="193">
        <v>7</v>
      </c>
      <c r="E10" s="186" t="str" cm="1">
        <f t="array" ref="E10">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Manage Closely</v>
      </c>
      <c r="F10" s="420">
        <f>_xlfn.XLOOKUP(Stakeholder[[#This Row],[Category]],StakeholderCategory[Category],StakeholderCategory['#])</f>
        <v>1</v>
      </c>
      <c r="J10" s="119"/>
      <c r="K10" s="119"/>
      <c r="L10" s="119"/>
      <c r="M10" s="119"/>
      <c r="N10" s="119"/>
      <c r="O10" s="119"/>
      <c r="P10" s="119"/>
      <c r="Q10" s="119"/>
    </row>
    <row r="11" spans="1:17" ht="16" x14ac:dyDescent="0.2">
      <c r="A11" s="170" t="s">
        <v>1537</v>
      </c>
      <c r="B11" s="147" t="s">
        <v>349</v>
      </c>
      <c r="C11" s="193">
        <v>10</v>
      </c>
      <c r="D11" s="193">
        <v>9</v>
      </c>
      <c r="E11" s="186" t="str" cm="1">
        <f t="array" ref="E11">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Manage Closely</v>
      </c>
      <c r="F11" s="420">
        <f>_xlfn.XLOOKUP(Stakeholder[[#This Row],[Category]],StakeholderCategory[Category],StakeholderCategory['#])</f>
        <v>1</v>
      </c>
      <c r="J11" s="119"/>
      <c r="K11" s="119"/>
      <c r="L11" s="119"/>
      <c r="M11" s="119"/>
      <c r="N11" s="119"/>
      <c r="O11" s="119"/>
      <c r="P11" s="119"/>
      <c r="Q11" s="119"/>
    </row>
    <row r="12" spans="1:17" ht="16" x14ac:dyDescent="0.2">
      <c r="A12" s="170" t="s">
        <v>1533</v>
      </c>
      <c r="B12" s="147" t="s">
        <v>350</v>
      </c>
      <c r="C12" s="193">
        <v>5</v>
      </c>
      <c r="D12" s="193">
        <v>10</v>
      </c>
      <c r="E12" s="186" t="str" cm="1">
        <f t="array" ref="E12">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Keep Satisified</v>
      </c>
      <c r="F12" s="420">
        <f>_xlfn.XLOOKUP(Stakeholder[[#This Row],[Category]],StakeholderCategory[Category],StakeholderCategory['#])</f>
        <v>2</v>
      </c>
      <c r="J12" s="119"/>
      <c r="K12" s="119"/>
      <c r="L12" s="119"/>
      <c r="M12" s="119"/>
      <c r="N12" s="119"/>
      <c r="O12" s="119"/>
      <c r="P12" s="119"/>
      <c r="Q12" s="119"/>
    </row>
    <row r="13" spans="1:17" ht="16" x14ac:dyDescent="0.2">
      <c r="A13" s="170" t="s">
        <v>1535</v>
      </c>
      <c r="B13" s="147" t="s">
        <v>350</v>
      </c>
      <c r="C13" s="193">
        <v>6</v>
      </c>
      <c r="D13" s="193">
        <v>5</v>
      </c>
      <c r="E13" s="186" t="str" cm="1">
        <f t="array" ref="E13">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Keep Informed</v>
      </c>
      <c r="F13" s="420">
        <f>_xlfn.XLOOKUP(Stakeholder[[#This Row],[Category]],StakeholderCategory[Category],StakeholderCategory['#])</f>
        <v>3</v>
      </c>
      <c r="J13" s="119"/>
      <c r="K13" s="119"/>
      <c r="L13" s="119"/>
      <c r="M13" s="119"/>
      <c r="N13" s="119"/>
      <c r="O13" s="119"/>
      <c r="P13" s="119"/>
      <c r="Q13" s="119"/>
    </row>
    <row r="14" spans="1:17" ht="16" x14ac:dyDescent="0.2">
      <c r="A14" s="170" t="s">
        <v>1541</v>
      </c>
      <c r="B14" s="147" t="s">
        <v>350</v>
      </c>
      <c r="C14" s="193">
        <v>6</v>
      </c>
      <c r="D14" s="193">
        <v>3</v>
      </c>
      <c r="E14" s="186" t="str" cm="1">
        <f t="array" ref="E14">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Keep Informed</v>
      </c>
      <c r="F14" s="420">
        <f>_xlfn.XLOOKUP(Stakeholder[[#This Row],[Category]],StakeholderCategory[Category],StakeholderCategory['#])</f>
        <v>3</v>
      </c>
      <c r="J14" s="119"/>
      <c r="K14" s="119"/>
      <c r="L14" s="119"/>
      <c r="M14" s="119"/>
      <c r="N14" s="119"/>
      <c r="O14" s="119"/>
      <c r="P14" s="119"/>
      <c r="Q14" s="119"/>
    </row>
    <row r="15" spans="1:17" ht="16" x14ac:dyDescent="0.2">
      <c r="A15" s="170" t="s">
        <v>1538</v>
      </c>
      <c r="B15" s="147" t="s">
        <v>350</v>
      </c>
      <c r="C15" s="193">
        <v>4</v>
      </c>
      <c r="D15" s="193">
        <v>2</v>
      </c>
      <c r="E15" s="186" t="str" cm="1">
        <f t="array" ref="E15">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Monitor</v>
      </c>
      <c r="F15" s="420">
        <f>_xlfn.XLOOKUP(Stakeholder[[#This Row],[Category]],StakeholderCategory[Category],StakeholderCategory['#])</f>
        <v>4</v>
      </c>
      <c r="J15" s="119"/>
      <c r="K15" s="119"/>
      <c r="L15" s="119"/>
      <c r="M15" s="119"/>
      <c r="N15" s="119"/>
      <c r="O15" s="119"/>
      <c r="P15" s="119"/>
      <c r="Q15" s="119"/>
    </row>
    <row r="16" spans="1:17" ht="16" x14ac:dyDescent="0.2">
      <c r="A16" s="170" t="s">
        <v>1539</v>
      </c>
      <c r="B16" s="147" t="s">
        <v>350</v>
      </c>
      <c r="C16" s="193">
        <v>5</v>
      </c>
      <c r="D16" s="193">
        <v>3</v>
      </c>
      <c r="E16" s="186" t="str" cm="1">
        <f t="array" ref="E16">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Monitor</v>
      </c>
      <c r="F16" s="420">
        <f>_xlfn.XLOOKUP(Stakeholder[[#This Row],[Category]],StakeholderCategory[Category],StakeholderCategory['#])</f>
        <v>4</v>
      </c>
      <c r="J16" s="119"/>
      <c r="K16" s="119"/>
      <c r="L16" s="119"/>
      <c r="M16" s="119"/>
      <c r="N16" s="119"/>
      <c r="O16" s="119"/>
      <c r="P16" s="119"/>
      <c r="Q16" s="119"/>
    </row>
    <row r="17" spans="1:17" ht="16" x14ac:dyDescent="0.2">
      <c r="A17" s="170" t="s">
        <v>1540</v>
      </c>
      <c r="B17" s="147" t="s">
        <v>350</v>
      </c>
      <c r="C17" s="193">
        <v>3</v>
      </c>
      <c r="D17" s="193">
        <v>4</v>
      </c>
      <c r="E17" s="186" t="str" cm="1">
        <f t="array" ref="E17">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Monitor</v>
      </c>
      <c r="F17" s="420">
        <f>_xlfn.XLOOKUP(Stakeholder[[#This Row],[Category]],StakeholderCategory[Category],StakeholderCategory['#])</f>
        <v>4</v>
      </c>
      <c r="J17" s="119"/>
      <c r="K17" s="119"/>
      <c r="L17" s="119"/>
      <c r="M17" s="119"/>
      <c r="N17" s="119"/>
      <c r="O17" s="119"/>
      <c r="P17" s="119"/>
      <c r="Q17" s="119"/>
    </row>
    <row r="18" spans="1:17" ht="16" x14ac:dyDescent="0.2">
      <c r="A18" s="170" t="s">
        <v>1542</v>
      </c>
      <c r="B18" s="147" t="s">
        <v>350</v>
      </c>
      <c r="C18" s="193">
        <v>3</v>
      </c>
      <c r="D18" s="193">
        <v>5</v>
      </c>
      <c r="E18" s="186" t="str" cm="1">
        <f t="array" ref="E18">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Monitor</v>
      </c>
      <c r="F18" s="420">
        <f>_xlfn.XLOOKUP(Stakeholder[[#This Row],[Category]],StakeholderCategory[Category],StakeholderCategory['#])</f>
        <v>4</v>
      </c>
      <c r="J18" s="119"/>
      <c r="K18" s="119"/>
      <c r="L18" s="119"/>
      <c r="M18" s="119"/>
      <c r="N18" s="119"/>
      <c r="O18" s="119"/>
      <c r="P18" s="119"/>
      <c r="Q18" s="119"/>
    </row>
    <row r="19" spans="1:17" ht="16" x14ac:dyDescent="0.2">
      <c r="A19" s="170" t="s">
        <v>1543</v>
      </c>
      <c r="B19" s="147" t="s">
        <v>350</v>
      </c>
      <c r="C19" s="193">
        <v>4</v>
      </c>
      <c r="D19" s="193">
        <v>3</v>
      </c>
      <c r="E19" s="186" t="str" cm="1">
        <f t="array" ref="E19">_xlfn.XLOOKUP(1,(Stakeholder[[#This Row],[Interest]]&gt;=StakeholderCategory[Interest Min])*(Stakeholder[[#This Row],[Interest]]&lt;=StakeholderCategory[Interest Max])*(Stakeholder[[#This Row],[Influence]]&gt;=StakeholderCategory[Influence Min])*(Stakeholder[[#This Row],[Influence]]&lt;=StakeholderCategory[Influence Max]),StakeholderCategory[Category])</f>
        <v>Monitor</v>
      </c>
      <c r="F19" s="420">
        <f>_xlfn.XLOOKUP(Stakeholder[[#This Row],[Category]],StakeholderCategory[Category],StakeholderCategory['#])</f>
        <v>4</v>
      </c>
      <c r="J19" s="119"/>
      <c r="K19" s="119"/>
      <c r="L19" s="119"/>
      <c r="M19" s="119"/>
      <c r="N19" s="119"/>
      <c r="O19" s="119"/>
      <c r="P19" s="119"/>
      <c r="Q19" s="119"/>
    </row>
    <row r="20" spans="1:17" ht="15" x14ac:dyDescent="0.2">
      <c r="J20" s="119"/>
      <c r="K20" s="119"/>
      <c r="L20" s="119"/>
      <c r="M20" s="119"/>
      <c r="N20" s="119"/>
      <c r="O20" s="119"/>
      <c r="P20" s="119"/>
      <c r="Q20" s="119"/>
    </row>
    <row r="21" spans="1:17" ht="15" x14ac:dyDescent="0.2">
      <c r="J21" s="119"/>
      <c r="K21" s="119"/>
      <c r="L21" s="119"/>
      <c r="M21" s="119"/>
      <c r="N21" s="119"/>
      <c r="O21" s="119"/>
      <c r="P21" s="119"/>
      <c r="Q21" s="119"/>
    </row>
    <row r="22" spans="1:17" ht="15" x14ac:dyDescent="0.2">
      <c r="J22" s="119"/>
      <c r="K22" s="119"/>
      <c r="L22" s="119"/>
      <c r="M22" s="119"/>
      <c r="N22" s="119"/>
      <c r="O22" s="119"/>
      <c r="P22" s="119"/>
      <c r="Q22" s="119"/>
    </row>
    <row r="23" spans="1:17" ht="15" x14ac:dyDescent="0.2">
      <c r="J23" s="119"/>
      <c r="K23" s="119"/>
      <c r="L23" s="119"/>
      <c r="M23" s="119"/>
      <c r="N23" s="119"/>
      <c r="O23" s="119"/>
      <c r="P23" s="119"/>
      <c r="Q23" s="119"/>
    </row>
    <row r="24" spans="1:17" ht="15" x14ac:dyDescent="0.2">
      <c r="J24" s="119"/>
      <c r="K24" s="119"/>
      <c r="L24" s="119"/>
      <c r="M24" s="119"/>
      <c r="N24" s="119"/>
      <c r="O24" s="119"/>
      <c r="P24" s="119"/>
      <c r="Q24" s="119"/>
    </row>
    <row r="25" spans="1:17" ht="15" x14ac:dyDescent="0.2">
      <c r="J25" s="119"/>
      <c r="K25" s="119"/>
      <c r="L25" s="119"/>
      <c r="M25" s="119"/>
      <c r="N25" s="119"/>
      <c r="O25" s="119"/>
      <c r="P25" s="119"/>
      <c r="Q25" s="119"/>
    </row>
    <row r="26" spans="1:17" ht="15" x14ac:dyDescent="0.2">
      <c r="J26" s="119"/>
      <c r="K26" s="119"/>
      <c r="L26" s="119"/>
      <c r="M26" s="119"/>
      <c r="N26" s="119"/>
      <c r="O26" s="119"/>
      <c r="P26" s="119"/>
      <c r="Q26" s="119"/>
    </row>
    <row r="27" spans="1:17" ht="15" x14ac:dyDescent="0.2">
      <c r="J27" s="119"/>
      <c r="K27" s="119"/>
      <c r="L27" s="119"/>
      <c r="M27" s="119"/>
      <c r="N27" s="119"/>
      <c r="O27" s="119"/>
      <c r="P27" s="119"/>
      <c r="Q27" s="119"/>
    </row>
    <row r="28" spans="1:17" ht="15" x14ac:dyDescent="0.2">
      <c r="J28" s="119"/>
      <c r="K28" s="119"/>
      <c r="L28" s="119"/>
      <c r="M28" s="119"/>
      <c r="N28" s="119"/>
      <c r="O28" s="119"/>
      <c r="P28" s="119"/>
      <c r="Q28" s="119"/>
    </row>
    <row r="29" spans="1:17" ht="15" x14ac:dyDescent="0.2">
      <c r="J29" s="119"/>
      <c r="K29" s="119"/>
      <c r="L29" s="119"/>
      <c r="M29" s="119"/>
      <c r="N29" s="119"/>
      <c r="O29" s="119"/>
      <c r="P29" s="119"/>
      <c r="Q29" s="119"/>
    </row>
    <row r="30" spans="1:17" ht="15" x14ac:dyDescent="0.2">
      <c r="J30" s="119"/>
      <c r="K30" s="119"/>
      <c r="L30" s="119"/>
      <c r="M30" s="119"/>
      <c r="N30" s="119"/>
      <c r="O30" s="119"/>
      <c r="P30" s="119"/>
      <c r="Q30" s="119"/>
    </row>
    <row r="31" spans="1:17" ht="15" x14ac:dyDescent="0.2">
      <c r="J31" s="119"/>
      <c r="K31" s="119"/>
      <c r="L31" s="119"/>
      <c r="M31" s="119"/>
      <c r="N31" s="119"/>
      <c r="O31" s="119"/>
      <c r="P31" s="119"/>
      <c r="Q31" s="119"/>
    </row>
    <row r="32" spans="1:17" ht="15" x14ac:dyDescent="0.2">
      <c r="J32" s="119"/>
      <c r="K32" s="119"/>
      <c r="L32" s="119"/>
      <c r="M32" s="119"/>
      <c r="N32" s="119"/>
      <c r="O32" s="119"/>
      <c r="P32" s="119"/>
      <c r="Q32" s="119"/>
    </row>
    <row r="33" spans="10:17" ht="15" x14ac:dyDescent="0.2">
      <c r="J33" s="119"/>
      <c r="K33" s="119"/>
      <c r="L33" s="119"/>
      <c r="M33" s="119"/>
      <c r="N33" s="119"/>
      <c r="O33" s="119"/>
      <c r="P33" s="119"/>
      <c r="Q33" s="119"/>
    </row>
    <row r="34" spans="10:17" ht="15" x14ac:dyDescent="0.2">
      <c r="J34" s="119"/>
      <c r="K34" s="119"/>
      <c r="L34" s="119"/>
      <c r="M34" s="119"/>
      <c r="N34" s="119"/>
      <c r="O34" s="119"/>
      <c r="P34" s="119"/>
      <c r="Q34" s="119"/>
    </row>
    <row r="35" spans="10:17" ht="15" x14ac:dyDescent="0.2">
      <c r="J35" s="119"/>
      <c r="K35" s="119"/>
      <c r="L35" s="119"/>
      <c r="M35" s="119"/>
      <c r="N35" s="119"/>
      <c r="O35" s="119"/>
      <c r="P35" s="119"/>
      <c r="Q35" s="119"/>
    </row>
    <row r="36" spans="10:17" ht="15" x14ac:dyDescent="0.2">
      <c r="J36" s="119"/>
      <c r="K36" s="119"/>
      <c r="L36" s="119"/>
      <c r="M36" s="119"/>
      <c r="N36" s="119"/>
      <c r="O36" s="119"/>
      <c r="P36" s="119"/>
      <c r="Q36" s="119"/>
    </row>
    <row r="37" spans="10:17" ht="15" x14ac:dyDescent="0.2">
      <c r="J37" s="119"/>
      <c r="K37" s="119"/>
      <c r="L37" s="119"/>
      <c r="M37" s="119"/>
      <c r="N37" s="119"/>
      <c r="O37" s="119"/>
      <c r="P37" s="119"/>
      <c r="Q37" s="119"/>
    </row>
    <row r="38" spans="10:17" ht="15" x14ac:dyDescent="0.2">
      <c r="J38" s="119"/>
      <c r="K38" s="119"/>
      <c r="L38" s="119"/>
      <c r="M38" s="119"/>
      <c r="N38" s="119"/>
      <c r="O38" s="119"/>
      <c r="P38" s="119"/>
      <c r="Q38" s="119"/>
    </row>
    <row r="39" spans="10:17" ht="15" x14ac:dyDescent="0.2">
      <c r="J39" s="119"/>
      <c r="K39" s="119"/>
      <c r="L39" s="119"/>
      <c r="M39" s="119"/>
      <c r="N39" s="119"/>
      <c r="O39" s="119"/>
      <c r="P39" s="119"/>
      <c r="Q39" s="119"/>
    </row>
    <row r="40" spans="10:17" ht="15" x14ac:dyDescent="0.2">
      <c r="J40" s="119"/>
      <c r="K40" s="119"/>
      <c r="L40" s="119"/>
      <c r="M40" s="119"/>
      <c r="N40" s="119"/>
      <c r="O40" s="119"/>
      <c r="P40" s="119"/>
      <c r="Q40" s="119"/>
    </row>
    <row r="41" spans="10:17" ht="15" x14ac:dyDescent="0.2">
      <c r="J41" s="119"/>
      <c r="K41" s="119"/>
      <c r="L41" s="119"/>
      <c r="M41" s="119"/>
      <c r="N41" s="119"/>
      <c r="O41" s="119"/>
      <c r="P41" s="119"/>
      <c r="Q41" s="119"/>
    </row>
    <row r="42" spans="10:17" ht="15" x14ac:dyDescent="0.2">
      <c r="J42" s="119"/>
      <c r="K42" s="119"/>
      <c r="L42" s="119"/>
      <c r="M42" s="119"/>
      <c r="N42" s="119"/>
      <c r="O42" s="119"/>
      <c r="P42" s="119"/>
      <c r="Q42" s="119"/>
    </row>
    <row r="43" spans="10:17" ht="15" x14ac:dyDescent="0.2">
      <c r="J43" s="119"/>
      <c r="K43" s="119"/>
      <c r="L43" s="119"/>
      <c r="M43" s="119"/>
      <c r="N43" s="119"/>
      <c r="O43" s="119"/>
      <c r="P43" s="119"/>
      <c r="Q43" s="119"/>
    </row>
    <row r="44" spans="10:17" ht="15" x14ac:dyDescent="0.2">
      <c r="J44" s="119"/>
      <c r="K44" s="119"/>
      <c r="L44" s="119"/>
      <c r="M44" s="119"/>
      <c r="N44" s="119"/>
      <c r="O44" s="119"/>
      <c r="P44" s="119"/>
      <c r="Q44" s="119"/>
    </row>
    <row r="45" spans="10:17" ht="15" x14ac:dyDescent="0.2">
      <c r="J45" s="119"/>
      <c r="K45" s="119"/>
      <c r="L45" s="119"/>
      <c r="M45" s="119"/>
      <c r="N45" s="119"/>
      <c r="O45" s="119"/>
      <c r="P45" s="119"/>
      <c r="Q45" s="119"/>
    </row>
    <row r="46" spans="10:17" ht="15" x14ac:dyDescent="0.2">
      <c r="J46" s="119"/>
      <c r="K46" s="119"/>
      <c r="L46" s="119"/>
      <c r="M46" s="119"/>
      <c r="N46" s="119"/>
      <c r="O46" s="119"/>
      <c r="P46" s="119"/>
      <c r="Q46" s="119"/>
    </row>
    <row r="47" spans="10:17" ht="15" x14ac:dyDescent="0.2">
      <c r="J47" s="119"/>
      <c r="K47" s="119"/>
      <c r="L47" s="119"/>
      <c r="M47" s="119"/>
      <c r="N47" s="119"/>
      <c r="O47" s="119"/>
      <c r="P47" s="119"/>
      <c r="Q47" s="119"/>
    </row>
    <row r="48" spans="10:17" ht="15" x14ac:dyDescent="0.2">
      <c r="J48" s="119"/>
      <c r="K48" s="119"/>
      <c r="L48" s="119"/>
      <c r="M48" s="119"/>
      <c r="N48" s="119"/>
      <c r="O48" s="119"/>
      <c r="P48" s="119"/>
      <c r="Q48" s="119"/>
    </row>
    <row r="49" spans="10:17" ht="15" x14ac:dyDescent="0.2">
      <c r="J49" s="119"/>
      <c r="K49" s="119"/>
      <c r="L49" s="119"/>
      <c r="M49" s="119"/>
      <c r="N49" s="119"/>
      <c r="O49" s="119"/>
      <c r="P49" s="119"/>
      <c r="Q49" s="119"/>
    </row>
    <row r="50" spans="10:17" ht="15" x14ac:dyDescent="0.2">
      <c r="J50" s="119"/>
      <c r="K50" s="119"/>
      <c r="L50" s="119"/>
      <c r="M50" s="119"/>
      <c r="N50" s="119"/>
      <c r="O50" s="119"/>
      <c r="P50" s="119"/>
      <c r="Q50" s="119"/>
    </row>
    <row r="51" spans="10:17" ht="15" x14ac:dyDescent="0.2">
      <c r="J51" s="119"/>
      <c r="K51" s="119"/>
      <c r="L51" s="119"/>
      <c r="M51" s="119"/>
      <c r="N51" s="119"/>
      <c r="O51" s="119"/>
      <c r="P51" s="119"/>
      <c r="Q51" s="119"/>
    </row>
    <row r="52" spans="10:17" ht="15" x14ac:dyDescent="0.2">
      <c r="J52" s="119"/>
      <c r="K52" s="119"/>
      <c r="L52" s="119"/>
      <c r="M52" s="119"/>
      <c r="N52" s="119"/>
      <c r="O52" s="119"/>
      <c r="P52" s="119"/>
      <c r="Q52" s="119"/>
    </row>
    <row r="53" spans="10:17" ht="15" x14ac:dyDescent="0.2">
      <c r="J53" s="119"/>
      <c r="K53" s="119"/>
      <c r="L53" s="119"/>
      <c r="M53" s="119"/>
      <c r="N53" s="119"/>
      <c r="O53" s="119"/>
      <c r="P53" s="119"/>
      <c r="Q53" s="119"/>
    </row>
    <row r="54" spans="10:17" ht="15" x14ac:dyDescent="0.2">
      <c r="J54" s="119"/>
      <c r="K54" s="119"/>
      <c r="L54" s="119"/>
      <c r="M54" s="119"/>
      <c r="N54" s="119"/>
      <c r="O54" s="119"/>
      <c r="P54" s="119"/>
      <c r="Q54" s="119"/>
    </row>
    <row r="55" spans="10:17" ht="15" x14ac:dyDescent="0.2">
      <c r="J55" s="119"/>
      <c r="K55" s="119"/>
      <c r="L55" s="119"/>
      <c r="M55" s="119"/>
      <c r="N55" s="119"/>
      <c r="O55" s="119"/>
      <c r="P55" s="119"/>
      <c r="Q55" s="119"/>
    </row>
    <row r="56" spans="10:17" ht="15" x14ac:dyDescent="0.2">
      <c r="J56" s="119"/>
      <c r="K56" s="119"/>
      <c r="L56" s="119"/>
      <c r="M56" s="119"/>
      <c r="N56" s="119"/>
      <c r="O56" s="119"/>
      <c r="P56" s="119"/>
      <c r="Q56" s="119"/>
    </row>
    <row r="57" spans="10:17" ht="15" x14ac:dyDescent="0.2">
      <c r="J57" s="119"/>
      <c r="K57" s="119"/>
      <c r="L57" s="119"/>
      <c r="M57" s="119"/>
      <c r="N57" s="119"/>
      <c r="O57" s="119"/>
      <c r="P57" s="119"/>
      <c r="Q57" s="119"/>
    </row>
    <row r="58" spans="10:17" ht="15" x14ac:dyDescent="0.2">
      <c r="J58" s="119"/>
      <c r="K58" s="119"/>
      <c r="L58" s="119"/>
      <c r="M58" s="119"/>
      <c r="N58" s="119"/>
      <c r="O58" s="119"/>
      <c r="P58" s="119"/>
      <c r="Q58" s="119"/>
    </row>
    <row r="59" spans="10:17" ht="15" x14ac:dyDescent="0.2">
      <c r="J59" s="119"/>
      <c r="K59" s="119"/>
      <c r="L59" s="119"/>
      <c r="M59" s="119"/>
      <c r="N59" s="119"/>
      <c r="O59" s="119"/>
      <c r="P59" s="119"/>
      <c r="Q59" s="119"/>
    </row>
  </sheetData>
  <mergeCells count="2">
    <mergeCell ref="A2:F2"/>
    <mergeCell ref="A1:F1"/>
  </mergeCells>
  <dataValidations count="1">
    <dataValidation type="list" allowBlank="1" showInputMessage="1" showErrorMessage="1" sqref="C4:D19" xr:uid="{A550372D-4AB8-2D43-97C7-A6AB172E1D68}">
      <formula1>"1,2,3,4,5,6,7,8,9,10"</formula1>
    </dataValidation>
  </dataValidations>
  <pageMargins left="0.7" right="0.7" top="0.75" bottom="0.75" header="0.3" footer="0.3"/>
  <pageSetup orientation="portrait" horizontalDpi="0" verticalDpi="0"/>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8A3EBC50-0795-A945-B65C-98DA1E4826A4}">
          <x14:formula1>
            <xm:f>Lists!$CQ$3:$CQ$4</xm:f>
          </x14:formula1>
          <xm:sqref>B4:B19</xm:sqref>
        </x14:dataValidation>
        <x14:dataValidation type="list" allowBlank="1" showInputMessage="1" showErrorMessage="1" xr:uid="{53E78F6B-A9E0-5A4A-90EF-BD0463ADF764}">
          <x14:formula1>
            <xm:f>Lists!$CT$3:$CT$6</xm:f>
          </x14:formula1>
          <xm:sqref>E4:E19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8BDE9-0FBF-D64C-BFA6-E50C1B72B014}">
  <sheetPr>
    <tabColor theme="9" tint="-0.499984740745262"/>
  </sheetPr>
  <dimension ref="A1:L30"/>
  <sheetViews>
    <sheetView workbookViewId="0">
      <selection activeCell="E8" sqref="D8:E13"/>
    </sheetView>
  </sheetViews>
  <sheetFormatPr baseColWidth="10" defaultRowHeight="15" x14ac:dyDescent="0.2"/>
  <cols>
    <col min="1" max="1" width="4.33203125" style="119" customWidth="1"/>
    <col min="2" max="2" width="12.33203125" style="119" bestFit="1" customWidth="1"/>
    <col min="3" max="3" width="60.1640625" style="121" customWidth="1"/>
    <col min="4" max="5" width="14.33203125" style="119" customWidth="1"/>
    <col min="6" max="6" width="63.1640625" style="119" customWidth="1"/>
    <col min="7" max="7" width="24.5" style="119" customWidth="1"/>
    <col min="8" max="8" width="31.83203125" style="119" customWidth="1"/>
    <col min="9" max="9" width="42.5" style="119" customWidth="1"/>
    <col min="10" max="10" width="23.5" style="119" customWidth="1"/>
    <col min="11" max="16384" width="10.83203125" style="119"/>
  </cols>
  <sheetData>
    <row r="1" spans="1:6" ht="17" x14ac:dyDescent="0.25">
      <c r="A1" s="553" t="s">
        <v>144</v>
      </c>
      <c r="B1" s="554"/>
      <c r="C1" s="554"/>
      <c r="D1" s="554"/>
      <c r="E1" s="554"/>
      <c r="F1" s="555"/>
    </row>
    <row r="2" spans="1:6" x14ac:dyDescent="0.2">
      <c r="A2" s="550" t="s">
        <v>2285</v>
      </c>
      <c r="B2" s="551"/>
      <c r="C2" s="551"/>
      <c r="D2" s="551"/>
      <c r="E2" s="551"/>
      <c r="F2" s="552"/>
    </row>
    <row r="3" spans="1:6" ht="16" x14ac:dyDescent="0.2">
      <c r="A3" s="190" t="s">
        <v>40</v>
      </c>
      <c r="B3" s="168" t="s">
        <v>362</v>
      </c>
      <c r="C3" s="191" t="s">
        <v>172</v>
      </c>
      <c r="D3" s="192" t="s">
        <v>369</v>
      </c>
      <c r="E3" s="192" t="s">
        <v>370</v>
      </c>
      <c r="F3" s="354" t="s">
        <v>174</v>
      </c>
    </row>
    <row r="4" spans="1:6" ht="32" x14ac:dyDescent="0.2">
      <c r="A4" s="144">
        <v>1</v>
      </c>
      <c r="B4" s="170" t="s">
        <v>67</v>
      </c>
      <c r="C4" s="147" t="s">
        <v>1752</v>
      </c>
      <c r="D4" s="287">
        <v>46023</v>
      </c>
      <c r="E4" s="287">
        <v>46752</v>
      </c>
      <c r="F4" s="355" t="str">
        <f>Dec_Support[[#This Row],[Description]]&amp;" (From "&amp;TEXT(Dec_Support[[#This Row],[Start]],"DD-MMM-YYYY")&amp;" to "&amp;TEXT(Dec_Support[[#This Row],[End]],"DD-MMM-YYYY")&amp;")"</f>
        <v>Phase 1 — Build the Foundation: establish compliance office, regional division, and early R&amp;D prototypes. (From 01-Jan-2026 to 31-Dec-2027)</v>
      </c>
    </row>
    <row r="5" spans="1:6" ht="32" x14ac:dyDescent="0.2">
      <c r="A5" s="144">
        <v>2</v>
      </c>
      <c r="B5" s="170" t="s">
        <v>67</v>
      </c>
      <c r="C5" s="147" t="s">
        <v>1753</v>
      </c>
      <c r="D5" s="287">
        <v>46753</v>
      </c>
      <c r="E5" s="287">
        <v>48213</v>
      </c>
      <c r="F5" s="355" t="str">
        <f>Dec_Support[[#This Row],[Description]]&amp;" (From "&amp;TEXT(Dec_Support[[#This Row],[Start]],"DD-MMM-YYYY")&amp;" to "&amp;TEXT(Dec_Support[[#This Row],[End]],"DD-MMM-YYYY")&amp;")"</f>
        <v>Phase 2 — Shape the Environment: secure export licenses, build partnerships, and achieve initial vehicle IOC. (From 01-Jan-2028 to 31-Dec-2031)</v>
      </c>
    </row>
    <row r="6" spans="1:6" ht="32" x14ac:dyDescent="0.2">
      <c r="A6" s="144">
        <v>3</v>
      </c>
      <c r="B6" s="170" t="s">
        <v>67</v>
      </c>
      <c r="C6" s="147" t="s">
        <v>1754</v>
      </c>
      <c r="D6" s="287">
        <v>47849</v>
      </c>
      <c r="E6" s="287">
        <v>48579</v>
      </c>
      <c r="F6" s="355" t="str">
        <f>Dec_Support[[#This Row],[Description]]&amp;" (From "&amp;TEXT(Dec_Support[[#This Row],[Start]],"DD-MMM-YYYY")&amp;" to "&amp;TEXT(Dec_Support[[#This Row],[End]],"DD-MMM-YYYY")&amp;")"</f>
        <v>Phase 3 — Enter the Market: deliver first climate-adapted and next-generation vehicles, validating dual-market production. (From 01-Jan-2031 to 31-Dec-2032)</v>
      </c>
    </row>
    <row r="7" spans="1:6" ht="32" x14ac:dyDescent="0.2">
      <c r="A7" s="144">
        <v>4</v>
      </c>
      <c r="B7" s="170" t="s">
        <v>67</v>
      </c>
      <c r="C7" s="147" t="s">
        <v>1755</v>
      </c>
      <c r="D7" s="287">
        <v>48214</v>
      </c>
      <c r="E7" s="287">
        <v>50040</v>
      </c>
      <c r="F7" s="355" t="str">
        <f>Dec_Support[[#This Row],[Description]]&amp;" (From "&amp;TEXT(Dec_Support[[#This Row],[Start]],"DD-MMM-YYYY")&amp;" to "&amp;TEXT(Dec_Support[[#This Row],[End]],"DD-MMM-YYYY")&amp;")"</f>
        <v>Phase 4 — Achieve Full Operations: reach FOC, generate $450M Southeast Asian revenue, sustain U.S. DoD dominance. (From 01-Jan-2032 to 31-Dec-2036)</v>
      </c>
    </row>
    <row r="8" spans="1:6" ht="32" x14ac:dyDescent="0.2">
      <c r="A8" s="144">
        <v>5</v>
      </c>
      <c r="B8" s="170" t="s">
        <v>364</v>
      </c>
      <c r="C8" s="147" t="s">
        <v>1756</v>
      </c>
      <c r="D8" s="287">
        <v>46844</v>
      </c>
      <c r="E8" s="287">
        <v>46934</v>
      </c>
      <c r="F8" s="355" t="str">
        <f>Dec_Support[[#This Row],[Description]]&amp;" (From "&amp;TEXT(Dec_Support[[#This Row],[Start]],"DD-MMM-YYYY")&amp;" to "&amp;TEXT(Dec_Support[[#This Row],[End]],"DD-MMM-YYYY")&amp;")"</f>
        <v>Assess FCPA training certification rates to confirm compliance readiness before engaging Southeast Asian government partners. (From 01-Apr-2028 to 30-Jun-2028)</v>
      </c>
    </row>
    <row r="9" spans="1:6" ht="32" x14ac:dyDescent="0.2">
      <c r="A9" s="144">
        <v>6</v>
      </c>
      <c r="B9" s="170" t="s">
        <v>364</v>
      </c>
      <c r="C9" s="147" t="s">
        <v>1757</v>
      </c>
      <c r="D9" s="287">
        <v>47027</v>
      </c>
      <c r="E9" s="287">
        <v>47118</v>
      </c>
      <c r="F9" s="355" t="str">
        <f>Dec_Support[[#This Row],[Description]]&amp;" (From "&amp;TEXT(Dec_Support[[#This Row],[Start]],"DD-MMM-YYYY")&amp;" to "&amp;TEXT(Dec_Support[[#This Row],[End]],"DD-MMM-YYYY")&amp;")"</f>
        <v>Evaluate CMMC Level 3 progress to confirm cyber readiness before initiating sensitive partner negotiations. (From 01-Oct-2028 to 31-Dec-2028)</v>
      </c>
    </row>
    <row r="10" spans="1:6" ht="32" x14ac:dyDescent="0.2">
      <c r="A10" s="144">
        <v>7</v>
      </c>
      <c r="B10" s="170" t="s">
        <v>364</v>
      </c>
      <c r="C10" s="147" t="s">
        <v>1758</v>
      </c>
      <c r="D10" s="287">
        <v>47392</v>
      </c>
      <c r="E10" s="287">
        <v>47483</v>
      </c>
      <c r="F10" s="355" t="str">
        <f>Dec_Support[[#This Row],[Description]]&amp;" (From "&amp;TEXT(Dec_Support[[#This Row],[Start]],"DD-MMM-YYYY")&amp;" to "&amp;TEXT(Dec_Support[[#This Row],[End]],"DD-MMM-YYYY")&amp;")"</f>
        <v>Assess export license approval progress to confirm regulatory access before committing to Phase 3 investments. (From 01-Oct-2029 to 31-Dec-2029)</v>
      </c>
    </row>
    <row r="11" spans="1:6" ht="32" x14ac:dyDescent="0.2">
      <c r="A11" s="144">
        <v>8</v>
      </c>
      <c r="B11" s="170" t="s">
        <v>364</v>
      </c>
      <c r="C11" s="147" t="s">
        <v>1759</v>
      </c>
      <c r="D11" s="287">
        <v>47574</v>
      </c>
      <c r="E11" s="287">
        <v>47664</v>
      </c>
      <c r="F11" s="355" t="str">
        <f>Dec_Support[[#This Row],[Description]]&amp;" (From "&amp;TEXT(Dec_Support[[#This Row],[Start]],"DD-MMM-YYYY")&amp;" to "&amp;TEXT(Dec_Support[[#This Row],[End]],"DD-MMM-YYYY")&amp;")"</f>
        <v>Assess DoD endorsement status to confirm U.S. military advocacy before scaling Southeast Asian sales commitments. (From 01-Apr-2030 to 30-Jun-2030)</v>
      </c>
    </row>
    <row r="12" spans="1:6" ht="32" x14ac:dyDescent="0.2">
      <c r="A12" s="144">
        <v>9</v>
      </c>
      <c r="B12" s="170" t="s">
        <v>364</v>
      </c>
      <c r="C12" s="147" t="s">
        <v>1760</v>
      </c>
      <c r="D12" s="287">
        <v>47757</v>
      </c>
      <c r="E12" s="287">
        <v>47848</v>
      </c>
      <c r="F12" s="355" t="str">
        <f>Dec_Support[[#This Row],[Description]]&amp;" (From "&amp;TEXT(Dec_Support[[#This Row],[Start]],"DD-MMM-YYYY")&amp;" to "&amp;TEXT(Dec_Support[[#This Row],[End]],"DD-MMM-YYYY")&amp;")"</f>
        <v>Evaluate production automation deployment to confirm dual-market capacity before committing to climate vehicle deliveries. (From 01-Oct-2030 to 31-Dec-2030)</v>
      </c>
    </row>
    <row r="13" spans="1:6" ht="32" x14ac:dyDescent="0.2">
      <c r="A13" s="144">
        <v>10</v>
      </c>
      <c r="B13" s="170" t="s">
        <v>364</v>
      </c>
      <c r="C13" s="147" t="s">
        <v>1837</v>
      </c>
      <c r="D13" s="287">
        <v>47270</v>
      </c>
      <c r="E13" s="287">
        <v>47422</v>
      </c>
      <c r="F13" s="355" t="str">
        <f>Dec_Support[[#This Row],[Description]]&amp;" (From "&amp;TEXT(Dec_Support[[#This Row],[Start]],"DD-MMM-YYYY")&amp;" to "&amp;TEXT(Dec_Support[[#This Row],[End]],"DD-MMM-YYYY")&amp;")"</f>
        <v>Assess competitive threat to determine whether to accelerate joint venture formation ahead of schedule. (From 01-Jun-2029 to 31-Oct-2029)</v>
      </c>
    </row>
    <row r="14" spans="1:6" ht="32" x14ac:dyDescent="0.2">
      <c r="A14" s="144">
        <v>11</v>
      </c>
      <c r="B14" s="170" t="s">
        <v>363</v>
      </c>
      <c r="C14" s="147" t="s">
        <v>1761</v>
      </c>
      <c r="D14" s="287">
        <v>47484</v>
      </c>
      <c r="E14" s="287">
        <v>47848</v>
      </c>
      <c r="F14" s="355" t="str">
        <f>Dec_Support[[#This Row],[Description]]&amp;" (From "&amp;TEXT(Dec_Support[[#This Row],[Start]],"DD-MMM-YYYY")&amp;" to "&amp;TEXT(Dec_Support[[#This Row],[End]],"DD-MMM-YYYY")&amp;")"</f>
        <v>Halt climate vehicle production scale-up pending production automation deployment to preserve dual-market manufacturing capacity. (From 01-Jan-2030 to 31-Dec-2030)</v>
      </c>
    </row>
    <row r="15" spans="1:6" ht="32" x14ac:dyDescent="0.2">
      <c r="A15" s="144">
        <v>12</v>
      </c>
      <c r="B15" s="170" t="s">
        <v>363</v>
      </c>
      <c r="C15" s="147" t="s">
        <v>1762</v>
      </c>
      <c r="D15" s="287">
        <v>47119</v>
      </c>
      <c r="E15" s="287">
        <v>47483</v>
      </c>
      <c r="F15" s="355" t="str">
        <f>Dec_Support[[#This Row],[Description]]&amp;" (From "&amp;TEXT(Dec_Support[[#This Row],[Start]],"DD-MMM-YYYY")&amp;" to "&amp;TEXT(Dec_Support[[#This Row],[End]],"DD-MMM-YYYY")&amp;")"</f>
        <v>Suspend joint venture negotiations pending first export license approval to avoid regulatory non-compliance exposure. (From 01-Jan-2029 to 31-Dec-2029)</v>
      </c>
    </row>
    <row r="16" spans="1:6" ht="32" x14ac:dyDescent="0.2">
      <c r="A16" s="144">
        <v>13</v>
      </c>
      <c r="B16" s="170" t="s">
        <v>365</v>
      </c>
      <c r="C16" s="147" t="s">
        <v>1763</v>
      </c>
      <c r="D16" s="287">
        <v>46661</v>
      </c>
      <c r="E16" s="287">
        <v>46752</v>
      </c>
      <c r="F16" s="355" t="str">
        <f>Dec_Support[[#This Row],[Description]]&amp;" (From "&amp;TEXT(Dec_Support[[#This Row],[Start]],"DD-MMM-YYYY")&amp;" to "&amp;TEXT(Dec_Support[[#This Row],[End]],"DD-MMM-YYYY")&amp;")"</f>
        <v>If U.S. defense budget cuts exceed 20%, accelerate Southeast Asian market entry timeline by 12 months. (From 01-Oct-2027 to 31-Dec-2027)</v>
      </c>
    </row>
    <row r="17" spans="1:12" ht="32" x14ac:dyDescent="0.2">
      <c r="A17" s="144">
        <v>14</v>
      </c>
      <c r="B17" s="170" t="s">
        <v>365</v>
      </c>
      <c r="C17" s="147" t="s">
        <v>1764</v>
      </c>
      <c r="D17" s="287">
        <v>47119</v>
      </c>
      <c r="E17" s="287">
        <v>47299</v>
      </c>
      <c r="F17" s="355" t="str">
        <f>Dec_Support[[#This Row],[Description]]&amp;" (From "&amp;TEXT(Dec_Support[[#This Row],[Start]],"DD-MMM-YYYY")&amp;" to "&amp;TEXT(Dec_Support[[#This Row],[End]],"DD-MMM-YYYY")&amp;")"</f>
        <v>If export license timeline exceeds 30 months, pursue Direct Commercial Sales as an alternative regulatory pathway. (From 01-Jan-2029 to 30-Jun-2029)</v>
      </c>
    </row>
    <row r="18" spans="1:12" ht="32" x14ac:dyDescent="0.2">
      <c r="A18" s="144">
        <v>15</v>
      </c>
      <c r="B18" s="170" t="s">
        <v>365</v>
      </c>
      <c r="C18" s="147" t="s">
        <v>1765</v>
      </c>
      <c r="D18" s="287">
        <v>47270</v>
      </c>
      <c r="E18" s="287">
        <v>47483</v>
      </c>
      <c r="F18" s="355" t="str">
        <f>Dec_Support[[#This Row],[Description]]&amp;" (From "&amp;TEXT(Dec_Support[[#This Row],[Start]],"DD-MMM-YYYY")&amp;" to "&amp;TEXT(Dec_Support[[#This Row],[End]],"DD-MMM-YYYY")&amp;")"</f>
        <v>If climate prototype fails tropical validation, initiate design revision before committing to IOC production timeline. (From 01-Jun-2029 to 31-Dec-2029)</v>
      </c>
    </row>
    <row r="19" spans="1:12" ht="32" x14ac:dyDescent="0.2">
      <c r="A19" s="144">
        <v>16</v>
      </c>
      <c r="B19" s="170" t="s">
        <v>365</v>
      </c>
      <c r="C19" s="147" t="s">
        <v>1766</v>
      </c>
      <c r="D19" s="287">
        <v>47635</v>
      </c>
      <c r="E19" s="287">
        <v>47848</v>
      </c>
      <c r="F19" s="355" t="str">
        <f>Dec_Support[[#This Row],[Description]]&amp;" (From "&amp;TEXT(Dec_Support[[#This Row],[Start]],"DD-MMM-YYYY")&amp;" to "&amp;TEXT(Dec_Support[[#This Row],[End]],"DD-MMM-YYYY")&amp;")"</f>
        <v>If joint venture negotiations fail, pursue sole-ownership regional subsidiary as an alternative partnership structure. (From 01-Jun-2030 to 31-Dec-2030)</v>
      </c>
    </row>
    <row r="20" spans="1:12" ht="32" x14ac:dyDescent="0.2">
      <c r="A20" s="144">
        <v>17</v>
      </c>
      <c r="B20" s="170" t="s">
        <v>365</v>
      </c>
      <c r="C20" s="147" t="s">
        <v>1767</v>
      </c>
      <c r="D20" s="287">
        <v>46388</v>
      </c>
      <c r="E20" s="287">
        <v>47118</v>
      </c>
      <c r="F20" s="355" t="str">
        <f>Dec_Support[[#This Row],[Description]]&amp;" (From "&amp;TEXT(Dec_Support[[#This Row],[Start]],"DD-MMM-YYYY")&amp;" to "&amp;TEXT(Dec_Support[[#This Row],[End]],"DD-MMM-YYYY")&amp;")"</f>
        <v>If cyber breach occurs before CMMC certification, immediately pause all Southeast Asian partner technology sharing. (From 01-Jan-2027 to 31-Dec-2028)</v>
      </c>
    </row>
    <row r="21" spans="1:12" ht="32" x14ac:dyDescent="0.2">
      <c r="A21" s="144">
        <v>18</v>
      </c>
      <c r="B21" s="170" t="s">
        <v>365</v>
      </c>
      <c r="C21" s="147" t="s">
        <v>1836</v>
      </c>
      <c r="D21" s="287">
        <v>47270</v>
      </c>
      <c r="E21" s="287">
        <v>47483</v>
      </c>
      <c r="F21" s="355" t="str">
        <f>Dec_Support[[#This Row],[Description]]&amp;" (From "&amp;TEXT(Dec_Support[[#This Row],[Start]],"DD-MMM-YYYY")&amp;" to "&amp;TEXT(Dec_Support[[#This Row],[End]],"DD-MMM-YYYY")&amp;")"</f>
        <v>If competitor announces competing product within 6 months of first MOU, accelerate joint venture formation ahead of schedule. (From 01-Jun-2029 to 31-Dec-2029)</v>
      </c>
    </row>
    <row r="22" spans="1:12" ht="32" x14ac:dyDescent="0.2">
      <c r="A22" s="144">
        <v>19</v>
      </c>
      <c r="B22" s="170" t="s">
        <v>366</v>
      </c>
      <c r="C22" s="147" t="s">
        <v>1768</v>
      </c>
      <c r="D22" s="287">
        <v>47849</v>
      </c>
      <c r="E22" s="287">
        <v>48029</v>
      </c>
      <c r="F22" s="355" t="str">
        <f>Dec_Support[[#This Row],[Description]]&amp;" (From "&amp;TEXT(Dec_Support[[#This Row],[Start]],"DD-MMM-YYYY")&amp;" to "&amp;TEXT(Dec_Support[[#This Row],[End]],"DD-MMM-YYYY")&amp;")"</f>
        <v>Upon Phase 2 completion, initiate Phase 3 market entry pending export license and automation deployment confirmation. (From 01-Jan-2031 to 30-Jun-2031)</v>
      </c>
    </row>
    <row r="23" spans="1:12" ht="32" x14ac:dyDescent="0.2">
      <c r="A23" s="144">
        <v>20</v>
      </c>
      <c r="B23" s="170" t="s">
        <v>366</v>
      </c>
      <c r="C23" s="147" t="s">
        <v>1769</v>
      </c>
      <c r="D23" s="287">
        <v>47849</v>
      </c>
      <c r="E23" s="287">
        <v>48213</v>
      </c>
      <c r="F23" s="355" t="str">
        <f>Dec_Support[[#This Row],[Description]]&amp;" (From "&amp;TEXT(Dec_Support[[#This Row],[Start]],"DD-MMM-YYYY")&amp;" to "&amp;TEXT(Dec_Support[[#This Row],[End]],"DD-MMM-YYYY")&amp;")"</f>
        <v>Upon joint venture formation, initiate in-country assembly operations and local production capability transfer. (From 01-Jan-2031 to 31-Dec-2031)</v>
      </c>
    </row>
    <row r="24" spans="1:12" ht="32" x14ac:dyDescent="0.2">
      <c r="A24" s="144">
        <v>21</v>
      </c>
      <c r="B24" s="170" t="s">
        <v>366</v>
      </c>
      <c r="C24" s="147" t="s">
        <v>1770</v>
      </c>
      <c r="D24" s="287">
        <v>48580</v>
      </c>
      <c r="E24" s="287">
        <v>48760</v>
      </c>
      <c r="F24" s="355" t="str">
        <f>Dec_Support[[#This Row],[Description]]&amp;" (From "&amp;TEXT(Dec_Support[[#This Row],[Start]],"DD-MMM-YYYY")&amp;" to "&amp;TEXT(Dec_Support[[#This Row],[End]],"DD-MMM-YYYY")&amp;")"</f>
        <v>Upon Next-Gen FOC achievement, initiate competitive bidding for second-generation platform contracts with U.S. DoD. (From 01-Jan-2033 to 30-Jun-2033)</v>
      </c>
    </row>
    <row r="25" spans="1:12" ht="32" x14ac:dyDescent="0.2">
      <c r="A25" s="144">
        <v>22</v>
      </c>
      <c r="B25" s="170" t="s">
        <v>367</v>
      </c>
      <c r="C25" s="147" t="s">
        <v>1771</v>
      </c>
      <c r="D25" s="287">
        <v>47484</v>
      </c>
      <c r="E25" s="287">
        <v>47848</v>
      </c>
      <c r="F25" s="355" t="str">
        <f>Dec_Support[[#This Row],[Description]]&amp;" (From "&amp;TEXT(Dec_Support[[#This Row],[Start]],"DD-MMM-YYYY")&amp;" to "&amp;TEXT(Dec_Support[[#This Row],[End]],"DD-MMM-YYYY")&amp;")"</f>
        <v>First Southeast Asian contract award validates commercial viability of Sentinel's regional market entry strategy. (From 01-Jan-2030 to 31-Dec-2030)</v>
      </c>
    </row>
    <row r="30" spans="1:12" x14ac:dyDescent="0.2">
      <c r="L30" s="122"/>
    </row>
  </sheetData>
  <mergeCells count="2">
    <mergeCell ref="A2:F2"/>
    <mergeCell ref="A1:F1"/>
  </mergeCells>
  <pageMargins left="0.7" right="0.7" top="0.75" bottom="0.75" header="0.3" footer="0.3"/>
  <pageSetup orientation="portrait" horizontalDpi="0" verticalDpi="0"/>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C205FD1C-229D-3541-9279-55E83E4184A4}">
          <x14:formula1>
            <xm:f>Lists!$DB$3:$DB$9</xm:f>
          </x14:formula1>
          <xm:sqref>B4:B25</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49223-680D-334C-863B-0605C0D5E416}">
  <sheetPr>
    <tabColor theme="9" tint="-0.499984740745262"/>
  </sheetPr>
  <dimension ref="A1:L45"/>
  <sheetViews>
    <sheetView workbookViewId="0">
      <selection activeCell="E19" sqref="E19:E22"/>
    </sheetView>
  </sheetViews>
  <sheetFormatPr baseColWidth="10" defaultRowHeight="16" x14ac:dyDescent="0.2"/>
  <cols>
    <col min="1" max="1" width="32.83203125" style="119" customWidth="1"/>
    <col min="2" max="2" width="45.83203125" style="121" customWidth="1"/>
    <col min="3" max="3" width="21" style="121" customWidth="1"/>
    <col min="4" max="7" width="21" style="119" customWidth="1"/>
    <col min="8" max="9" width="10.83203125" style="119"/>
    <col min="12" max="16384" width="10.83203125" style="119"/>
  </cols>
  <sheetData>
    <row r="1" spans="1:11" ht="17" x14ac:dyDescent="0.25">
      <c r="A1" s="553" t="s">
        <v>1700</v>
      </c>
      <c r="B1" s="554"/>
      <c r="C1" s="554"/>
      <c r="D1" s="554"/>
      <c r="E1" s="554"/>
      <c r="F1" s="554"/>
      <c r="G1" s="555"/>
      <c r="J1" s="119"/>
      <c r="K1" s="119"/>
    </row>
    <row r="2" spans="1:11" ht="15" x14ac:dyDescent="0.2">
      <c r="A2" s="469" t="s">
        <v>2286</v>
      </c>
      <c r="B2" s="470"/>
      <c r="C2" s="470"/>
      <c r="D2" s="470"/>
      <c r="E2" s="470"/>
      <c r="F2" s="470"/>
      <c r="G2" s="556"/>
      <c r="J2" s="119"/>
      <c r="K2" s="119"/>
    </row>
    <row r="3" spans="1:11" ht="15" x14ac:dyDescent="0.2">
      <c r="A3" s="427" t="s">
        <v>117</v>
      </c>
      <c r="B3" s="428"/>
      <c r="C3" s="428"/>
      <c r="D3" s="429"/>
      <c r="E3" s="429"/>
      <c r="F3" s="429"/>
      <c r="G3" s="430"/>
      <c r="J3" s="119"/>
      <c r="K3" s="119"/>
    </row>
    <row r="4" spans="1:11" x14ac:dyDescent="0.2">
      <c r="A4" s="288" t="s">
        <v>383</v>
      </c>
      <c r="B4" s="288" t="s">
        <v>172</v>
      </c>
      <c r="C4" s="288" t="s">
        <v>128</v>
      </c>
      <c r="D4" s="288" t="s">
        <v>64</v>
      </c>
      <c r="E4" s="289" t="s">
        <v>118</v>
      </c>
      <c r="F4" s="289" t="s">
        <v>119</v>
      </c>
      <c r="G4" s="290" t="s">
        <v>384</v>
      </c>
      <c r="H4" s="291"/>
      <c r="I4" s="291"/>
      <c r="J4" s="119"/>
      <c r="K4" s="119"/>
    </row>
    <row r="5" spans="1:11" ht="32" x14ac:dyDescent="0.2">
      <c r="A5" s="292" t="s">
        <v>1773</v>
      </c>
      <c r="B5" s="293" t="s">
        <v>1774</v>
      </c>
      <c r="C5" s="293" t="s">
        <v>380</v>
      </c>
      <c r="D5" s="294" t="s">
        <v>1775</v>
      </c>
      <c r="E5" s="294" t="s">
        <v>1776</v>
      </c>
      <c r="F5" s="294" t="s">
        <v>1777</v>
      </c>
      <c r="G5" s="295" t="s">
        <v>192</v>
      </c>
      <c r="H5" s="296"/>
      <c r="I5" s="296"/>
      <c r="J5" s="119"/>
      <c r="K5" s="119"/>
    </row>
    <row r="6" spans="1:11" ht="32" x14ac:dyDescent="0.2">
      <c r="A6" s="292" t="s">
        <v>1778</v>
      </c>
      <c r="B6" s="293" t="s">
        <v>1779</v>
      </c>
      <c r="C6" s="293" t="s">
        <v>380</v>
      </c>
      <c r="D6" s="294" t="s">
        <v>1780</v>
      </c>
      <c r="E6" s="294" t="s">
        <v>1781</v>
      </c>
      <c r="F6" s="294">
        <v>0.92</v>
      </c>
      <c r="G6" s="295" t="s">
        <v>192</v>
      </c>
      <c r="H6" s="296"/>
      <c r="I6" s="296"/>
      <c r="J6" s="119"/>
      <c r="K6" s="119"/>
    </row>
    <row r="7" spans="1:11" ht="32" x14ac:dyDescent="0.2">
      <c r="A7" s="292" t="s">
        <v>1782</v>
      </c>
      <c r="B7" s="293" t="s">
        <v>1783</v>
      </c>
      <c r="C7" s="293" t="s">
        <v>380</v>
      </c>
      <c r="D7" s="294" t="s">
        <v>1784</v>
      </c>
      <c r="E7" s="294" t="s">
        <v>1785</v>
      </c>
      <c r="F7" s="294">
        <v>0.38</v>
      </c>
      <c r="G7" s="295" t="s">
        <v>192</v>
      </c>
      <c r="H7" s="296"/>
      <c r="I7" s="296"/>
      <c r="J7" s="119"/>
      <c r="K7" s="119"/>
    </row>
    <row r="8" spans="1:11" ht="32" x14ac:dyDescent="0.2">
      <c r="A8" s="292" t="s">
        <v>1786</v>
      </c>
      <c r="B8" s="293" t="s">
        <v>1787</v>
      </c>
      <c r="C8" s="293" t="s">
        <v>382</v>
      </c>
      <c r="D8" s="294" t="s">
        <v>1788</v>
      </c>
      <c r="E8" s="294" t="s">
        <v>1789</v>
      </c>
      <c r="F8" s="294">
        <v>5.8</v>
      </c>
      <c r="G8" s="295" t="s">
        <v>192</v>
      </c>
      <c r="H8" s="296"/>
      <c r="I8" s="296"/>
      <c r="J8" s="119"/>
      <c r="K8" s="119"/>
    </row>
    <row r="9" spans="1:11" ht="32" x14ac:dyDescent="0.2">
      <c r="A9" s="292" t="s">
        <v>1828</v>
      </c>
      <c r="B9" s="293" t="s">
        <v>1829</v>
      </c>
      <c r="C9" s="293" t="s">
        <v>382</v>
      </c>
      <c r="D9" s="294" t="s">
        <v>1788</v>
      </c>
      <c r="E9" s="294" t="s">
        <v>1789</v>
      </c>
      <c r="F9" s="294">
        <v>5.5</v>
      </c>
      <c r="G9" s="295" t="s">
        <v>192</v>
      </c>
      <c r="H9" s="296"/>
      <c r="I9" s="296"/>
      <c r="J9" s="119"/>
      <c r="K9" s="119"/>
    </row>
    <row r="10" spans="1:11" ht="32" x14ac:dyDescent="0.2">
      <c r="A10" s="292" t="s">
        <v>1790</v>
      </c>
      <c r="B10" s="293" t="s">
        <v>1791</v>
      </c>
      <c r="C10" s="293" t="s">
        <v>382</v>
      </c>
      <c r="D10" s="294" t="s">
        <v>1792</v>
      </c>
      <c r="E10" s="294" t="s">
        <v>1793</v>
      </c>
      <c r="F10" s="294">
        <v>0.85</v>
      </c>
      <c r="G10" s="295" t="s">
        <v>192</v>
      </c>
      <c r="H10" s="296"/>
      <c r="I10" s="296"/>
      <c r="J10" s="119"/>
      <c r="K10" s="119"/>
    </row>
    <row r="11" spans="1:11" ht="32" x14ac:dyDescent="0.2">
      <c r="A11" s="292" t="s">
        <v>1794</v>
      </c>
      <c r="B11" s="293" t="s">
        <v>1795</v>
      </c>
      <c r="C11" s="293" t="s">
        <v>381</v>
      </c>
      <c r="D11" s="294" t="s">
        <v>1796</v>
      </c>
      <c r="E11" s="294" t="s">
        <v>1797</v>
      </c>
      <c r="F11" s="294" t="s">
        <v>1798</v>
      </c>
      <c r="G11" s="295" t="s">
        <v>192</v>
      </c>
      <c r="H11" s="296"/>
      <c r="I11" s="296"/>
      <c r="J11" s="119"/>
      <c r="K11" s="119"/>
    </row>
    <row r="12" spans="1:11" ht="32" x14ac:dyDescent="0.2">
      <c r="A12" s="292" t="s">
        <v>1799</v>
      </c>
      <c r="B12" s="293" t="s">
        <v>1800</v>
      </c>
      <c r="C12" s="293" t="s">
        <v>381</v>
      </c>
      <c r="D12" s="294" t="s">
        <v>1801</v>
      </c>
      <c r="E12" s="294" t="s">
        <v>1802</v>
      </c>
      <c r="F12" s="294" t="s">
        <v>1803</v>
      </c>
      <c r="G12" s="295" t="s">
        <v>213</v>
      </c>
      <c r="H12" s="296"/>
      <c r="I12" s="296"/>
      <c r="J12" s="119"/>
      <c r="K12" s="119"/>
    </row>
    <row r="13" spans="1:11" ht="32" x14ac:dyDescent="0.2">
      <c r="A13" s="292" t="s">
        <v>1804</v>
      </c>
      <c r="B13" s="293" t="s">
        <v>1805</v>
      </c>
      <c r="C13" s="293" t="s">
        <v>381</v>
      </c>
      <c r="D13" s="294" t="s">
        <v>1806</v>
      </c>
      <c r="E13" s="294" t="s">
        <v>1807</v>
      </c>
      <c r="F13" s="294">
        <v>0.93</v>
      </c>
      <c r="G13" s="295" t="s">
        <v>213</v>
      </c>
      <c r="H13" s="296"/>
      <c r="I13" s="296"/>
      <c r="J13" s="119"/>
      <c r="K13" s="119"/>
    </row>
    <row r="14" spans="1:11" ht="32" x14ac:dyDescent="0.2">
      <c r="A14" s="292" t="s">
        <v>1830</v>
      </c>
      <c r="B14" s="293" t="s">
        <v>1831</v>
      </c>
      <c r="C14" s="293" t="s">
        <v>381</v>
      </c>
      <c r="D14" s="294" t="s">
        <v>1832</v>
      </c>
      <c r="E14" s="294" t="s">
        <v>1833</v>
      </c>
      <c r="F14" s="294" t="s">
        <v>1834</v>
      </c>
      <c r="G14" s="295" t="s">
        <v>213</v>
      </c>
      <c r="H14" s="296"/>
      <c r="I14" s="296"/>
      <c r="J14" s="119"/>
      <c r="K14" s="119"/>
    </row>
    <row r="15" spans="1:11" ht="15" x14ac:dyDescent="0.2">
      <c r="H15" s="296"/>
      <c r="I15" s="296"/>
      <c r="J15" s="119"/>
      <c r="K15" s="119"/>
    </row>
    <row r="16" spans="1:11" ht="15" x14ac:dyDescent="0.2">
      <c r="H16" s="296"/>
      <c r="I16" s="296"/>
      <c r="J16" s="119"/>
      <c r="K16" s="119"/>
    </row>
    <row r="17" spans="1:11" ht="15" x14ac:dyDescent="0.2">
      <c r="A17" s="179" t="s">
        <v>1772</v>
      </c>
      <c r="J17" s="119"/>
      <c r="K17" s="119"/>
    </row>
    <row r="18" spans="1:11" x14ac:dyDescent="0.2">
      <c r="A18" s="288" t="s">
        <v>383</v>
      </c>
      <c r="B18" s="288" t="s">
        <v>172</v>
      </c>
      <c r="C18" s="288" t="s">
        <v>64</v>
      </c>
      <c r="D18" s="289" t="s">
        <v>119</v>
      </c>
      <c r="E18" s="289" t="s">
        <v>385</v>
      </c>
      <c r="F18" s="290" t="s">
        <v>65</v>
      </c>
      <c r="G18" s="297"/>
      <c r="J18" s="119"/>
      <c r="K18" s="119"/>
    </row>
    <row r="19" spans="1:11" ht="32" x14ac:dyDescent="0.2">
      <c r="A19" s="298" t="s">
        <v>1808</v>
      </c>
      <c r="B19" s="112" t="s">
        <v>1835</v>
      </c>
      <c r="C19" s="299" t="s">
        <v>1809</v>
      </c>
      <c r="D19" s="112">
        <v>8</v>
      </c>
      <c r="E19" s="300">
        <v>0.25</v>
      </c>
      <c r="F19" s="301">
        <f>'20. Evaluation'!$D19*'20. Evaluation'!$E19</f>
        <v>2</v>
      </c>
      <c r="G19" s="302"/>
      <c r="J19" s="119"/>
      <c r="K19" s="119"/>
    </row>
    <row r="20" spans="1:11" ht="32" x14ac:dyDescent="0.2">
      <c r="A20" s="298" t="s">
        <v>1810</v>
      </c>
      <c r="B20" s="112" t="s">
        <v>1811</v>
      </c>
      <c r="C20" s="299" t="s">
        <v>1809</v>
      </c>
      <c r="D20" s="112">
        <v>6</v>
      </c>
      <c r="E20" s="300">
        <v>0.2</v>
      </c>
      <c r="F20" s="301">
        <f>'20. Evaluation'!$D20*'20. Evaluation'!$E20</f>
        <v>1.2000000000000002</v>
      </c>
      <c r="G20" s="302"/>
      <c r="J20" s="119"/>
      <c r="K20" s="119"/>
    </row>
    <row r="21" spans="1:11" ht="32" x14ac:dyDescent="0.2">
      <c r="A21" s="298" t="s">
        <v>1812</v>
      </c>
      <c r="B21" s="112" t="s">
        <v>1813</v>
      </c>
      <c r="C21" s="299" t="s">
        <v>1809</v>
      </c>
      <c r="D21" s="112">
        <v>7</v>
      </c>
      <c r="E21" s="300">
        <v>0.15</v>
      </c>
      <c r="F21" s="301">
        <f>'20. Evaluation'!$D21*'20. Evaluation'!$E21</f>
        <v>1.05</v>
      </c>
      <c r="G21" s="302"/>
      <c r="J21" s="119"/>
      <c r="K21" s="119"/>
    </row>
    <row r="22" spans="1:11" ht="32" x14ac:dyDescent="0.2">
      <c r="A22" s="298" t="s">
        <v>1814</v>
      </c>
      <c r="B22" s="112" t="s">
        <v>1815</v>
      </c>
      <c r="C22" s="299" t="s">
        <v>1809</v>
      </c>
      <c r="D22" s="112">
        <v>8</v>
      </c>
      <c r="E22" s="300">
        <v>0.15</v>
      </c>
      <c r="F22" s="301">
        <f>'20. Evaluation'!$D22*'20. Evaluation'!$E22</f>
        <v>1.2</v>
      </c>
      <c r="G22" s="302"/>
      <c r="J22" s="119"/>
      <c r="K22" s="119"/>
    </row>
    <row r="23" spans="1:11" s="84" customFormat="1" ht="32" x14ac:dyDescent="0.2">
      <c r="A23" s="298" t="s">
        <v>1816</v>
      </c>
      <c r="B23" s="112" t="s">
        <v>1817</v>
      </c>
      <c r="C23" s="299" t="s">
        <v>1809</v>
      </c>
      <c r="D23" s="112">
        <v>9</v>
      </c>
      <c r="E23" s="300">
        <v>0.1</v>
      </c>
      <c r="F23" s="301">
        <f>'20. Evaluation'!$D23*'20. Evaluation'!$E23</f>
        <v>0.9</v>
      </c>
      <c r="G23" s="302"/>
      <c r="H23" s="291"/>
    </row>
    <row r="24" spans="1:11" ht="32" x14ac:dyDescent="0.2">
      <c r="A24" s="298" t="s">
        <v>1818</v>
      </c>
      <c r="B24" s="112" t="s">
        <v>1819</v>
      </c>
      <c r="C24" s="299" t="s">
        <v>1809</v>
      </c>
      <c r="D24" s="112">
        <v>7</v>
      </c>
      <c r="E24" s="300">
        <v>0.05</v>
      </c>
      <c r="F24" s="301">
        <f>'20. Evaluation'!$D24*'20. Evaluation'!$E24</f>
        <v>0.35000000000000003</v>
      </c>
      <c r="G24" s="302"/>
      <c r="H24" s="296"/>
      <c r="J24" s="119"/>
      <c r="K24" s="119"/>
    </row>
    <row r="25" spans="1:11" ht="32" x14ac:dyDescent="0.2">
      <c r="A25" s="298" t="s">
        <v>1820</v>
      </c>
      <c r="B25" s="112" t="s">
        <v>1821</v>
      </c>
      <c r="C25" s="299" t="s">
        <v>1809</v>
      </c>
      <c r="D25" s="112">
        <v>9</v>
      </c>
      <c r="E25" s="300">
        <v>0.05</v>
      </c>
      <c r="F25" s="301">
        <f>'20. Evaluation'!$D25*'20. Evaluation'!$E25</f>
        <v>0.45</v>
      </c>
      <c r="G25" s="302"/>
      <c r="H25" s="296"/>
      <c r="J25" s="119"/>
      <c r="K25" s="119"/>
    </row>
    <row r="26" spans="1:11" ht="32" x14ac:dyDescent="0.2">
      <c r="A26" s="298" t="s">
        <v>1822</v>
      </c>
      <c r="B26" s="112" t="s">
        <v>1823</v>
      </c>
      <c r="C26" s="299" t="s">
        <v>1809</v>
      </c>
      <c r="D26" s="112">
        <v>8</v>
      </c>
      <c r="E26" s="300">
        <v>0.03</v>
      </c>
      <c r="F26" s="301">
        <f>'20. Evaluation'!$D26*'20. Evaluation'!$E26</f>
        <v>0.24</v>
      </c>
      <c r="G26" s="302"/>
      <c r="H26" s="296"/>
      <c r="J26" s="119"/>
      <c r="K26" s="119"/>
    </row>
    <row r="27" spans="1:11" ht="32" x14ac:dyDescent="0.2">
      <c r="A27" s="298" t="s">
        <v>1824</v>
      </c>
      <c r="B27" s="112" t="s">
        <v>1825</v>
      </c>
      <c r="C27" s="299" t="s">
        <v>1809</v>
      </c>
      <c r="D27" s="112">
        <v>7</v>
      </c>
      <c r="E27" s="300">
        <v>0.01</v>
      </c>
      <c r="F27" s="301">
        <f>'20. Evaluation'!$D27*'20. Evaluation'!$E27</f>
        <v>7.0000000000000007E-2</v>
      </c>
      <c r="G27" s="302"/>
      <c r="H27" s="296"/>
      <c r="J27" s="119"/>
      <c r="K27" s="119"/>
    </row>
    <row r="28" spans="1:11" ht="32" x14ac:dyDescent="0.2">
      <c r="A28" s="298" t="s">
        <v>1826</v>
      </c>
      <c r="B28" s="112" t="s">
        <v>1827</v>
      </c>
      <c r="C28" s="299" t="s">
        <v>1809</v>
      </c>
      <c r="D28" s="112">
        <v>6</v>
      </c>
      <c r="E28" s="300">
        <v>0.01</v>
      </c>
      <c r="F28" s="301">
        <f>'20. Evaluation'!$D28*'20. Evaluation'!$E28</f>
        <v>0.06</v>
      </c>
      <c r="G28" s="302"/>
      <c r="H28" s="296"/>
      <c r="J28" s="119"/>
      <c r="K28" s="119"/>
    </row>
    <row r="29" spans="1:11" ht="15" x14ac:dyDescent="0.2">
      <c r="G29" s="302"/>
      <c r="H29" s="296"/>
      <c r="J29" s="119"/>
      <c r="K29" s="119"/>
    </row>
    <row r="30" spans="1:11" ht="15" x14ac:dyDescent="0.2">
      <c r="G30" s="302"/>
      <c r="H30" s="296"/>
      <c r="J30" s="119"/>
      <c r="K30" s="119"/>
    </row>
    <row r="31" spans="1:11" x14ac:dyDescent="0.2">
      <c r="E31" s="303" t="s">
        <v>386</v>
      </c>
      <c r="F31" s="210" t="s">
        <v>326</v>
      </c>
      <c r="G31" s="302"/>
      <c r="H31" s="296"/>
      <c r="J31" s="119"/>
      <c r="K31" s="119"/>
    </row>
    <row r="32" spans="1:11" ht="15" x14ac:dyDescent="0.2">
      <c r="E32" s="424">
        <v>1</v>
      </c>
      <c r="F32" s="301">
        <f>SUM(Evaluation_Eval[Total])</f>
        <v>7.5200000000000005</v>
      </c>
      <c r="G32" s="302"/>
      <c r="H32" s="296"/>
      <c r="J32" s="119"/>
      <c r="K32" s="119"/>
    </row>
    <row r="33" spans="2:12" ht="15" x14ac:dyDescent="0.2">
      <c r="B33" s="119"/>
      <c r="E33" s="170"/>
      <c r="F33" s="304"/>
      <c r="H33" s="296"/>
      <c r="J33" s="119"/>
      <c r="K33" s="119"/>
    </row>
    <row r="34" spans="2:12" ht="15" x14ac:dyDescent="0.2">
      <c r="B34" s="119"/>
      <c r="E34" s="170"/>
      <c r="F34" s="304"/>
      <c r="H34" s="296"/>
      <c r="J34" s="119"/>
      <c r="K34" s="119"/>
    </row>
    <row r="35" spans="2:12" ht="15" x14ac:dyDescent="0.2">
      <c r="B35" s="119"/>
      <c r="E35" s="170"/>
      <c r="F35" s="304"/>
      <c r="H35" s="296"/>
      <c r="J35" s="119"/>
      <c r="K35" s="119"/>
    </row>
    <row r="36" spans="2:12" ht="15" x14ac:dyDescent="0.2">
      <c r="B36" s="119"/>
      <c r="E36" s="170"/>
      <c r="F36" s="304"/>
      <c r="H36" s="296"/>
      <c r="J36" s="119"/>
      <c r="K36" s="119"/>
    </row>
    <row r="37" spans="2:12" ht="15" x14ac:dyDescent="0.2">
      <c r="B37" s="119"/>
      <c r="E37" s="170"/>
      <c r="F37" s="304"/>
      <c r="H37" s="296"/>
      <c r="J37" s="119"/>
      <c r="K37" s="119"/>
    </row>
    <row r="38" spans="2:12" ht="15" x14ac:dyDescent="0.2">
      <c r="B38" s="119"/>
      <c r="E38" s="170"/>
      <c r="F38" s="304"/>
      <c r="J38" s="119"/>
      <c r="K38" s="119"/>
    </row>
    <row r="39" spans="2:12" ht="15" x14ac:dyDescent="0.2">
      <c r="B39" s="119"/>
      <c r="E39" s="170"/>
      <c r="F39" s="304"/>
      <c r="J39" s="119"/>
      <c r="K39" s="119"/>
    </row>
    <row r="40" spans="2:12" ht="15" x14ac:dyDescent="0.2">
      <c r="B40" s="119"/>
      <c r="E40" s="170"/>
      <c r="F40" s="304"/>
      <c r="J40" s="119"/>
      <c r="K40" s="119"/>
    </row>
    <row r="41" spans="2:12" ht="15" x14ac:dyDescent="0.2">
      <c r="B41" s="119"/>
      <c r="J41" s="119"/>
      <c r="K41" s="119"/>
      <c r="L41" s="122"/>
    </row>
    <row r="42" spans="2:12" ht="15" x14ac:dyDescent="0.2">
      <c r="B42" s="119"/>
      <c r="J42" s="119"/>
      <c r="K42" s="119"/>
    </row>
    <row r="43" spans="2:12" ht="15" x14ac:dyDescent="0.2">
      <c r="J43" s="119"/>
      <c r="K43" s="119"/>
    </row>
    <row r="44" spans="2:12" ht="15" x14ac:dyDescent="0.2">
      <c r="J44" s="119"/>
      <c r="K44" s="119"/>
    </row>
    <row r="45" spans="2:12" ht="15" x14ac:dyDescent="0.2">
      <c r="J45" s="119"/>
      <c r="K45" s="119"/>
    </row>
  </sheetData>
  <mergeCells count="2">
    <mergeCell ref="A1:G1"/>
    <mergeCell ref="A2:G2"/>
  </mergeCells>
  <phoneticPr fontId="1" type="noConversion"/>
  <dataValidations count="1">
    <dataValidation type="list" allowBlank="1" showInputMessage="1" showErrorMessage="1" sqref="G5:G14" xr:uid="{1610E00F-CC04-BF4F-87B8-D31ED1E65C76}">
      <formula1>"Yes, No"</formula1>
    </dataValidation>
  </dataValidations>
  <pageMargins left="0.7" right="0.7" top="0.75" bottom="0.75" header="0.3" footer="0.3"/>
  <pageSetup orientation="portrait" horizontalDpi="0" verticalDpi="0"/>
  <tableParts count="3">
    <tablePart r:id="rId1"/>
    <tablePart r:id="rId2"/>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8E136CF-7DAF-004D-9267-8BD5B40A62F9}">
          <x14:formula1>
            <xm:f>Lists!$DE$3:$DE$5</xm:f>
          </x14:formula1>
          <xm:sqref>C5:C14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D4352-083B-904B-BDCC-022F274EF7C2}">
  <sheetPr>
    <tabColor theme="9" tint="-0.499984740745262"/>
  </sheetPr>
  <dimension ref="A1:M59"/>
  <sheetViews>
    <sheetView topLeftCell="A8" workbookViewId="0">
      <selection activeCell="C7" sqref="C7"/>
    </sheetView>
  </sheetViews>
  <sheetFormatPr baseColWidth="10" defaultRowHeight="14" x14ac:dyDescent="0.15"/>
  <cols>
    <col min="1" max="1" width="33.33203125" style="6" customWidth="1"/>
    <col min="2" max="2" width="11.83203125" style="6" bestFit="1" customWidth="1"/>
    <col min="3" max="3" width="10.6640625" style="17" bestFit="1" customWidth="1"/>
    <col min="4" max="10" width="33.33203125" style="6" customWidth="1"/>
    <col min="11" max="11" width="23.5" style="6" customWidth="1"/>
    <col min="12" max="16384" width="10.83203125" style="6"/>
  </cols>
  <sheetData>
    <row r="1" spans="1:13" ht="17" x14ac:dyDescent="0.25">
      <c r="A1" s="558" t="s">
        <v>2287</v>
      </c>
      <c r="B1" s="558"/>
      <c r="C1" s="558"/>
      <c r="D1" s="558"/>
      <c r="E1" s="558"/>
      <c r="F1" s="558"/>
      <c r="G1" s="558"/>
      <c r="H1" s="558"/>
      <c r="I1" s="558"/>
      <c r="J1" s="558"/>
    </row>
    <row r="2" spans="1:13" ht="15" x14ac:dyDescent="0.2">
      <c r="A2" s="557" t="s">
        <v>2288</v>
      </c>
      <c r="B2" s="557"/>
      <c r="C2" s="557"/>
      <c r="D2" s="557"/>
      <c r="E2" s="557"/>
      <c r="F2" s="557"/>
      <c r="G2" s="557"/>
      <c r="H2" s="557"/>
      <c r="I2" s="557"/>
      <c r="J2" s="557"/>
      <c r="K2" s="119"/>
      <c r="L2" s="119"/>
      <c r="M2" s="119"/>
    </row>
    <row r="3" spans="1:13" s="21" customFormat="1" ht="32" x14ac:dyDescent="0.2">
      <c r="A3" s="184" t="s">
        <v>50</v>
      </c>
      <c r="B3" s="185" t="s">
        <v>66</v>
      </c>
      <c r="C3" s="184" t="s">
        <v>67</v>
      </c>
      <c r="D3" s="184" t="s">
        <v>68</v>
      </c>
      <c r="E3" s="184" t="s">
        <v>377</v>
      </c>
      <c r="F3" s="184" t="s">
        <v>378</v>
      </c>
      <c r="G3" s="184" t="s">
        <v>69</v>
      </c>
      <c r="H3" s="184" t="s">
        <v>70</v>
      </c>
      <c r="I3" s="184" t="s">
        <v>71</v>
      </c>
      <c r="J3" s="184" t="s">
        <v>72</v>
      </c>
      <c r="K3" s="84"/>
      <c r="L3" s="84"/>
      <c r="M3" s="84"/>
    </row>
    <row r="4" spans="1:13" ht="48" x14ac:dyDescent="0.2">
      <c r="A4" s="147" t="s">
        <v>1838</v>
      </c>
      <c r="B4" s="305">
        <v>46388</v>
      </c>
      <c r="C4" s="147" t="s">
        <v>1839</v>
      </c>
      <c r="D4" s="306" t="s">
        <v>1840</v>
      </c>
      <c r="E4" s="306" t="s">
        <v>1841</v>
      </c>
      <c r="F4" s="306" t="s">
        <v>1842</v>
      </c>
      <c r="G4" s="306" t="s">
        <v>465</v>
      </c>
      <c r="H4" s="306" t="s">
        <v>1843</v>
      </c>
      <c r="I4" s="306" t="s">
        <v>1844</v>
      </c>
      <c r="J4" s="306" t="s">
        <v>1845</v>
      </c>
      <c r="K4" s="119"/>
      <c r="L4" s="119"/>
      <c r="M4" s="119"/>
    </row>
    <row r="5" spans="1:13" ht="48" x14ac:dyDescent="0.2">
      <c r="A5" s="147" t="s">
        <v>1846</v>
      </c>
      <c r="B5" s="305">
        <v>46539</v>
      </c>
      <c r="C5" s="147" t="s">
        <v>1839</v>
      </c>
      <c r="D5" s="306" t="s">
        <v>1847</v>
      </c>
      <c r="E5" s="306" t="s">
        <v>1848</v>
      </c>
      <c r="F5" s="306" t="s">
        <v>1849</v>
      </c>
      <c r="G5" s="306" t="s">
        <v>465</v>
      </c>
      <c r="H5" s="306" t="s">
        <v>1850</v>
      </c>
      <c r="I5" s="306" t="s">
        <v>1851</v>
      </c>
      <c r="J5" s="306" t="s">
        <v>1852</v>
      </c>
      <c r="K5" s="119"/>
      <c r="L5" s="119"/>
      <c r="M5" s="119"/>
    </row>
    <row r="6" spans="1:13" ht="48" customHeight="1" x14ac:dyDescent="0.2">
      <c r="A6" s="147" t="s">
        <v>1853</v>
      </c>
      <c r="B6" s="305">
        <v>46722</v>
      </c>
      <c r="C6" s="147" t="s">
        <v>1839</v>
      </c>
      <c r="D6" s="306" t="s">
        <v>1854</v>
      </c>
      <c r="E6" s="306" t="s">
        <v>1855</v>
      </c>
      <c r="F6" s="306" t="s">
        <v>1856</v>
      </c>
      <c r="G6" s="306" t="s">
        <v>465</v>
      </c>
      <c r="H6" s="306" t="s">
        <v>1857</v>
      </c>
      <c r="I6" s="306" t="s">
        <v>1965</v>
      </c>
      <c r="J6" s="306" t="s">
        <v>1858</v>
      </c>
      <c r="K6" s="119"/>
      <c r="L6" s="119"/>
      <c r="M6" s="119"/>
    </row>
    <row r="7" spans="1:13" ht="48" x14ac:dyDescent="0.2">
      <c r="A7" s="147" t="s">
        <v>1859</v>
      </c>
      <c r="B7" s="305">
        <v>46753</v>
      </c>
      <c r="C7" s="147" t="s">
        <v>1885</v>
      </c>
      <c r="D7" s="306" t="s">
        <v>1860</v>
      </c>
      <c r="E7" s="306" t="s">
        <v>1861</v>
      </c>
      <c r="F7" s="306" t="s">
        <v>1862</v>
      </c>
      <c r="G7" s="306" t="s">
        <v>465</v>
      </c>
      <c r="H7" s="306" t="s">
        <v>1863</v>
      </c>
      <c r="I7" s="306" t="s">
        <v>1966</v>
      </c>
      <c r="J7" s="306" t="s">
        <v>1967</v>
      </c>
      <c r="K7" s="119"/>
      <c r="L7" s="119"/>
      <c r="M7" s="119"/>
    </row>
    <row r="8" spans="1:13" ht="48" customHeight="1" x14ac:dyDescent="0.2">
      <c r="A8" s="147" t="s">
        <v>1864</v>
      </c>
      <c r="B8" s="305">
        <v>46905</v>
      </c>
      <c r="C8" s="147" t="s">
        <v>1885</v>
      </c>
      <c r="D8" s="306" t="s">
        <v>1865</v>
      </c>
      <c r="E8" s="306" t="s">
        <v>1866</v>
      </c>
      <c r="F8" s="306" t="s">
        <v>1867</v>
      </c>
      <c r="G8" s="306" t="s">
        <v>465</v>
      </c>
      <c r="H8" s="306" t="s">
        <v>1868</v>
      </c>
      <c r="I8" s="306" t="s">
        <v>1968</v>
      </c>
      <c r="J8" s="306" t="s">
        <v>1869</v>
      </c>
      <c r="K8" s="119"/>
      <c r="L8" s="119"/>
      <c r="M8" s="119"/>
    </row>
    <row r="9" spans="1:13" ht="48" x14ac:dyDescent="0.2">
      <c r="A9" s="147" t="s">
        <v>1870</v>
      </c>
      <c r="B9" s="305">
        <v>46997</v>
      </c>
      <c r="C9" s="147" t="s">
        <v>1885</v>
      </c>
      <c r="D9" s="306" t="s">
        <v>1871</v>
      </c>
      <c r="E9" s="306" t="s">
        <v>1872</v>
      </c>
      <c r="F9" s="306" t="s">
        <v>1873</v>
      </c>
      <c r="G9" s="306" t="s">
        <v>465</v>
      </c>
      <c r="H9" s="306" t="s">
        <v>1874</v>
      </c>
      <c r="I9" s="306" t="s">
        <v>1875</v>
      </c>
      <c r="J9" s="306" t="s">
        <v>1876</v>
      </c>
      <c r="K9" s="119"/>
      <c r="L9" s="119"/>
      <c r="M9" s="119"/>
    </row>
    <row r="10" spans="1:13" ht="48" customHeight="1" x14ac:dyDescent="0.2">
      <c r="A10" s="147" t="s">
        <v>1877</v>
      </c>
      <c r="B10" s="305">
        <v>47088</v>
      </c>
      <c r="C10" s="147" t="s">
        <v>1885</v>
      </c>
      <c r="D10" s="306" t="s">
        <v>1878</v>
      </c>
      <c r="E10" s="306" t="s">
        <v>1879</v>
      </c>
      <c r="F10" s="306" t="s">
        <v>1880</v>
      </c>
      <c r="G10" s="306" t="s">
        <v>465</v>
      </c>
      <c r="H10" s="306" t="s">
        <v>1881</v>
      </c>
      <c r="I10" s="306" t="s">
        <v>1882</v>
      </c>
      <c r="J10" s="306" t="s">
        <v>1883</v>
      </c>
      <c r="K10" s="119"/>
      <c r="L10" s="119"/>
      <c r="M10" s="119"/>
    </row>
    <row r="11" spans="1:13" ht="60" x14ac:dyDescent="0.2">
      <c r="A11" s="19" t="s">
        <v>1884</v>
      </c>
      <c r="B11" s="307">
        <v>47178</v>
      </c>
      <c r="C11" s="19" t="s">
        <v>1885</v>
      </c>
      <c r="D11" s="308" t="s">
        <v>1886</v>
      </c>
      <c r="E11" s="308" t="s">
        <v>1887</v>
      </c>
      <c r="F11" s="308" t="s">
        <v>1888</v>
      </c>
      <c r="G11" s="308" t="s">
        <v>465</v>
      </c>
      <c r="H11" s="308" t="s">
        <v>1889</v>
      </c>
      <c r="I11" s="308" t="s">
        <v>1890</v>
      </c>
      <c r="J11" s="308" t="s">
        <v>1891</v>
      </c>
      <c r="K11" s="119"/>
      <c r="L11" s="119"/>
      <c r="M11" s="119"/>
    </row>
    <row r="12" spans="1:13" ht="60" x14ac:dyDescent="0.2">
      <c r="A12" s="19" t="s">
        <v>1892</v>
      </c>
      <c r="B12" s="307">
        <v>47270</v>
      </c>
      <c r="C12" s="19" t="s">
        <v>1885</v>
      </c>
      <c r="D12" s="308" t="s">
        <v>1893</v>
      </c>
      <c r="E12" s="308" t="s">
        <v>1894</v>
      </c>
      <c r="F12" s="308" t="s">
        <v>1895</v>
      </c>
      <c r="G12" s="308" t="s">
        <v>1896</v>
      </c>
      <c r="H12" s="308" t="s">
        <v>1897</v>
      </c>
      <c r="I12" s="308" t="s">
        <v>1969</v>
      </c>
      <c r="J12" s="308" t="s">
        <v>1898</v>
      </c>
      <c r="K12" s="119"/>
      <c r="L12" s="119"/>
      <c r="M12" s="119"/>
    </row>
    <row r="13" spans="1:13" ht="45" customHeight="1" x14ac:dyDescent="0.2">
      <c r="A13" s="19" t="s">
        <v>1899</v>
      </c>
      <c r="B13" s="307">
        <v>47300</v>
      </c>
      <c r="C13" s="19" t="s">
        <v>1885</v>
      </c>
      <c r="D13" s="308" t="s">
        <v>1900</v>
      </c>
      <c r="E13" s="308" t="s">
        <v>1970</v>
      </c>
      <c r="F13" s="308" t="s">
        <v>1901</v>
      </c>
      <c r="G13" s="308" t="s">
        <v>1902</v>
      </c>
      <c r="H13" s="308" t="s">
        <v>1903</v>
      </c>
      <c r="I13" s="308" t="s">
        <v>1904</v>
      </c>
      <c r="J13" s="308" t="s">
        <v>1905</v>
      </c>
      <c r="K13" s="119"/>
      <c r="L13" s="119"/>
      <c r="M13" s="119"/>
    </row>
    <row r="14" spans="1:13" ht="45" x14ac:dyDescent="0.2">
      <c r="A14" s="19" t="s">
        <v>1906</v>
      </c>
      <c r="B14" s="307">
        <v>47362</v>
      </c>
      <c r="C14" s="19" t="s">
        <v>1885</v>
      </c>
      <c r="D14" s="308" t="s">
        <v>1907</v>
      </c>
      <c r="E14" s="308" t="s">
        <v>1908</v>
      </c>
      <c r="F14" s="308" t="s">
        <v>1909</v>
      </c>
      <c r="G14" s="308" t="s">
        <v>465</v>
      </c>
      <c r="H14" s="308" t="s">
        <v>1971</v>
      </c>
      <c r="I14" s="308" t="s">
        <v>1910</v>
      </c>
      <c r="J14" s="308" t="s">
        <v>1911</v>
      </c>
      <c r="K14" s="119"/>
      <c r="L14" s="119"/>
      <c r="M14" s="119"/>
    </row>
    <row r="15" spans="1:13" ht="60" customHeight="1" x14ac:dyDescent="0.2">
      <c r="A15" s="19" t="s">
        <v>1912</v>
      </c>
      <c r="B15" s="307">
        <v>47453</v>
      </c>
      <c r="C15" s="19" t="s">
        <v>1885</v>
      </c>
      <c r="D15" s="308" t="s">
        <v>1913</v>
      </c>
      <c r="E15" s="308" t="s">
        <v>1972</v>
      </c>
      <c r="F15" s="308" t="s">
        <v>1914</v>
      </c>
      <c r="G15" s="308" t="s">
        <v>465</v>
      </c>
      <c r="H15" s="308" t="s">
        <v>1915</v>
      </c>
      <c r="I15" s="308" t="s">
        <v>1973</v>
      </c>
      <c r="J15" s="308" t="s">
        <v>1974</v>
      </c>
      <c r="K15" s="119"/>
      <c r="L15" s="119"/>
      <c r="M15" s="119"/>
    </row>
    <row r="16" spans="1:13" ht="60" customHeight="1" x14ac:dyDescent="0.2">
      <c r="A16" s="19" t="s">
        <v>1916</v>
      </c>
      <c r="B16" s="307">
        <v>47453</v>
      </c>
      <c r="C16" s="19" t="s">
        <v>1885</v>
      </c>
      <c r="D16" s="308" t="s">
        <v>1917</v>
      </c>
      <c r="E16" s="308" t="s">
        <v>1918</v>
      </c>
      <c r="F16" s="308" t="s">
        <v>1919</v>
      </c>
      <c r="G16" s="308" t="s">
        <v>465</v>
      </c>
      <c r="H16" s="308" t="s">
        <v>1920</v>
      </c>
      <c r="I16" s="308" t="s">
        <v>1921</v>
      </c>
      <c r="J16" s="308" t="s">
        <v>1922</v>
      </c>
      <c r="K16" s="119"/>
      <c r="L16" s="119"/>
      <c r="M16" s="119"/>
    </row>
    <row r="17" spans="1:13" ht="45" x14ac:dyDescent="0.2">
      <c r="A17" s="19" t="s">
        <v>1923</v>
      </c>
      <c r="B17" s="307">
        <v>47484</v>
      </c>
      <c r="C17" s="19" t="s">
        <v>1885</v>
      </c>
      <c r="D17" s="308" t="s">
        <v>1924</v>
      </c>
      <c r="E17" s="308" t="s">
        <v>1975</v>
      </c>
      <c r="F17" s="308" t="s">
        <v>1976</v>
      </c>
      <c r="G17" s="308" t="s">
        <v>465</v>
      </c>
      <c r="H17" s="308" t="s">
        <v>1925</v>
      </c>
      <c r="I17" s="308" t="s">
        <v>1977</v>
      </c>
      <c r="J17" s="308" t="s">
        <v>1978</v>
      </c>
      <c r="K17" s="119"/>
      <c r="L17" s="119"/>
      <c r="M17" s="119"/>
    </row>
    <row r="18" spans="1:13" ht="60" customHeight="1" x14ac:dyDescent="0.2">
      <c r="A18" s="19" t="s">
        <v>1926</v>
      </c>
      <c r="B18" s="307">
        <v>47543</v>
      </c>
      <c r="C18" s="19" t="s">
        <v>1885</v>
      </c>
      <c r="D18" s="308" t="s">
        <v>1927</v>
      </c>
      <c r="E18" s="308" t="s">
        <v>1928</v>
      </c>
      <c r="F18" s="308" t="s">
        <v>1929</v>
      </c>
      <c r="G18" s="308" t="s">
        <v>1930</v>
      </c>
      <c r="H18" s="308" t="s">
        <v>1931</v>
      </c>
      <c r="I18" s="308" t="s">
        <v>1932</v>
      </c>
      <c r="J18" s="308" t="s">
        <v>1933</v>
      </c>
      <c r="K18" s="119"/>
      <c r="L18" s="119"/>
      <c r="M18" s="119"/>
    </row>
    <row r="19" spans="1:13" ht="45" customHeight="1" x14ac:dyDescent="0.2">
      <c r="A19" s="19" t="s">
        <v>1934</v>
      </c>
      <c r="B19" s="307">
        <v>47635</v>
      </c>
      <c r="C19" s="19" t="s">
        <v>1885</v>
      </c>
      <c r="D19" s="308" t="s">
        <v>1935</v>
      </c>
      <c r="E19" s="308" t="s">
        <v>1936</v>
      </c>
      <c r="F19" s="308" t="s">
        <v>1937</v>
      </c>
      <c r="G19" s="308" t="s">
        <v>465</v>
      </c>
      <c r="H19" s="308" t="s">
        <v>1938</v>
      </c>
      <c r="I19" s="308" t="s">
        <v>1979</v>
      </c>
      <c r="J19" s="308" t="s">
        <v>1980</v>
      </c>
      <c r="K19" s="119"/>
      <c r="L19" s="119"/>
      <c r="M19" s="119"/>
    </row>
    <row r="20" spans="1:13" ht="45" customHeight="1" x14ac:dyDescent="0.2">
      <c r="A20" s="19" t="s">
        <v>1939</v>
      </c>
      <c r="B20" s="307">
        <v>47635</v>
      </c>
      <c r="C20" s="19" t="s">
        <v>1885</v>
      </c>
      <c r="D20" s="308" t="s">
        <v>1940</v>
      </c>
      <c r="E20" s="308" t="s">
        <v>1941</v>
      </c>
      <c r="F20" s="308" t="s">
        <v>1942</v>
      </c>
      <c r="G20" s="308" t="s">
        <v>1943</v>
      </c>
      <c r="H20" s="308" t="s">
        <v>1944</v>
      </c>
      <c r="I20" s="308" t="s">
        <v>1945</v>
      </c>
      <c r="J20" s="308" t="s">
        <v>1946</v>
      </c>
      <c r="K20" s="119"/>
      <c r="L20" s="119"/>
      <c r="M20" s="119"/>
    </row>
    <row r="21" spans="1:13" ht="45" customHeight="1" x14ac:dyDescent="0.2">
      <c r="A21" s="19" t="s">
        <v>1947</v>
      </c>
      <c r="B21" s="307">
        <v>47727</v>
      </c>
      <c r="C21" s="19" t="s">
        <v>1885</v>
      </c>
      <c r="D21" s="308" t="s">
        <v>1948</v>
      </c>
      <c r="E21" s="308" t="s">
        <v>1949</v>
      </c>
      <c r="F21" s="308" t="s">
        <v>1981</v>
      </c>
      <c r="G21" s="308" t="s">
        <v>465</v>
      </c>
      <c r="H21" s="308" t="s">
        <v>1950</v>
      </c>
      <c r="I21" s="308" t="s">
        <v>1982</v>
      </c>
      <c r="J21" s="308" t="s">
        <v>1951</v>
      </c>
      <c r="K21" s="119"/>
      <c r="L21" s="119"/>
      <c r="M21" s="119"/>
    </row>
    <row r="22" spans="1:13" ht="60" x14ac:dyDescent="0.2">
      <c r="A22" s="19" t="s">
        <v>1952</v>
      </c>
      <c r="B22" s="307">
        <v>47788</v>
      </c>
      <c r="C22" s="19" t="s">
        <v>1885</v>
      </c>
      <c r="D22" s="308" t="s">
        <v>1953</v>
      </c>
      <c r="E22" s="308" t="s">
        <v>1954</v>
      </c>
      <c r="F22" s="308" t="s">
        <v>1955</v>
      </c>
      <c r="G22" s="308" t="s">
        <v>465</v>
      </c>
      <c r="H22" s="308" t="s">
        <v>1956</v>
      </c>
      <c r="I22" s="308" t="s">
        <v>1957</v>
      </c>
      <c r="J22" s="308" t="s">
        <v>1958</v>
      </c>
      <c r="K22" s="119"/>
      <c r="L22" s="119"/>
      <c r="M22" s="119"/>
    </row>
    <row r="23" spans="1:13" ht="60" customHeight="1" x14ac:dyDescent="0.2">
      <c r="A23" s="19" t="s">
        <v>1959</v>
      </c>
      <c r="B23" s="307">
        <v>47818</v>
      </c>
      <c r="C23" s="19" t="s">
        <v>1885</v>
      </c>
      <c r="D23" s="308" t="s">
        <v>1960</v>
      </c>
      <c r="E23" s="308" t="s">
        <v>1961</v>
      </c>
      <c r="F23" s="308" t="s">
        <v>1962</v>
      </c>
      <c r="G23" s="308" t="s">
        <v>1983</v>
      </c>
      <c r="H23" s="308" t="s">
        <v>1963</v>
      </c>
      <c r="I23" s="308" t="s">
        <v>1984</v>
      </c>
      <c r="J23" s="308" t="s">
        <v>1964</v>
      </c>
      <c r="K23" s="119"/>
      <c r="L23" s="119"/>
      <c r="M23" s="119"/>
    </row>
    <row r="24" spans="1:13" ht="15" x14ac:dyDescent="0.2">
      <c r="A24" s="119"/>
      <c r="B24" s="119"/>
      <c r="C24" s="121"/>
      <c r="D24" s="119"/>
      <c r="E24" s="119"/>
      <c r="F24" s="119"/>
      <c r="G24" s="119"/>
      <c r="H24" s="119"/>
      <c r="I24" s="119"/>
      <c r="J24" s="119"/>
      <c r="K24" s="119"/>
      <c r="L24" s="119"/>
      <c r="M24" s="119"/>
    </row>
    <row r="25" spans="1:13" ht="15" x14ac:dyDescent="0.2">
      <c r="A25" s="119"/>
      <c r="B25" s="119"/>
      <c r="C25" s="121"/>
      <c r="D25" s="119"/>
      <c r="E25" s="119"/>
      <c r="F25" s="119"/>
      <c r="G25" s="119"/>
      <c r="H25" s="119"/>
      <c r="I25" s="119"/>
      <c r="J25" s="119"/>
      <c r="K25" s="119"/>
      <c r="L25" s="119"/>
      <c r="M25" s="119"/>
    </row>
    <row r="26" spans="1:13" ht="15" x14ac:dyDescent="0.2">
      <c r="A26" s="119"/>
      <c r="B26" s="119"/>
      <c r="C26" s="121"/>
      <c r="D26" s="119"/>
      <c r="E26" s="119"/>
      <c r="F26" s="119"/>
      <c r="G26" s="119"/>
      <c r="H26" s="119"/>
      <c r="I26" s="119"/>
      <c r="J26" s="119"/>
      <c r="K26" s="119"/>
      <c r="L26" s="119"/>
      <c r="M26" s="119"/>
    </row>
    <row r="27" spans="1:13" ht="15" x14ac:dyDescent="0.2">
      <c r="A27" s="119"/>
      <c r="B27" s="119"/>
      <c r="C27" s="121"/>
      <c r="D27" s="119"/>
      <c r="E27" s="119"/>
      <c r="F27" s="119"/>
      <c r="G27" s="119"/>
      <c r="H27" s="119"/>
      <c r="I27" s="119"/>
      <c r="J27" s="119"/>
      <c r="K27" s="119"/>
      <c r="L27" s="119"/>
      <c r="M27" s="119"/>
    </row>
    <row r="28" spans="1:13" ht="15" x14ac:dyDescent="0.2">
      <c r="A28" s="119"/>
      <c r="B28" s="119"/>
      <c r="C28" s="121"/>
      <c r="D28" s="119"/>
      <c r="E28" s="119"/>
      <c r="F28" s="119"/>
      <c r="G28" s="119"/>
      <c r="H28" s="119"/>
      <c r="I28" s="119"/>
      <c r="J28" s="119"/>
      <c r="K28" s="119"/>
      <c r="L28" s="119"/>
      <c r="M28" s="119"/>
    </row>
    <row r="29" spans="1:13" ht="15" x14ac:dyDescent="0.2">
      <c r="A29" s="119"/>
      <c r="B29" s="119"/>
      <c r="C29" s="121"/>
      <c r="D29" s="119"/>
      <c r="E29" s="119"/>
      <c r="F29" s="119"/>
      <c r="G29" s="119"/>
      <c r="H29" s="119"/>
      <c r="I29" s="119"/>
      <c r="J29" s="119"/>
      <c r="K29" s="119"/>
      <c r="L29" s="119"/>
      <c r="M29" s="122"/>
    </row>
    <row r="30" spans="1:13" ht="15" x14ac:dyDescent="0.2">
      <c r="A30" s="119"/>
      <c r="B30" s="119"/>
      <c r="C30" s="121"/>
      <c r="D30" s="119"/>
      <c r="E30" s="119"/>
      <c r="F30" s="119"/>
      <c r="G30" s="119"/>
      <c r="H30" s="119"/>
      <c r="I30" s="119"/>
      <c r="J30" s="119"/>
      <c r="K30" s="119"/>
      <c r="L30" s="119"/>
      <c r="M30" s="119"/>
    </row>
    <row r="31" spans="1:13" ht="15" x14ac:dyDescent="0.2">
      <c r="A31" s="119"/>
      <c r="B31" s="119"/>
      <c r="C31" s="121"/>
      <c r="D31" s="119"/>
      <c r="E31" s="119"/>
      <c r="F31" s="119"/>
      <c r="G31" s="119"/>
      <c r="H31" s="119"/>
      <c r="I31" s="119"/>
      <c r="J31" s="119"/>
      <c r="K31" s="119"/>
      <c r="L31" s="119"/>
      <c r="M31" s="119"/>
    </row>
    <row r="32" spans="1:13" ht="15" x14ac:dyDescent="0.2">
      <c r="A32" s="119"/>
      <c r="B32" s="119"/>
      <c r="C32" s="121"/>
      <c r="D32" s="119"/>
      <c r="E32" s="119"/>
      <c r="F32" s="119"/>
      <c r="G32" s="119"/>
      <c r="H32" s="119"/>
      <c r="I32" s="119"/>
      <c r="J32" s="119"/>
      <c r="K32" s="119"/>
      <c r="L32" s="119"/>
      <c r="M32" s="119"/>
    </row>
    <row r="33" spans="1:13" ht="15" x14ac:dyDescent="0.2">
      <c r="A33" s="119"/>
      <c r="B33" s="119"/>
      <c r="C33" s="121"/>
      <c r="D33" s="119"/>
      <c r="E33" s="119"/>
      <c r="F33" s="119"/>
      <c r="G33" s="119"/>
      <c r="H33" s="119"/>
      <c r="I33" s="119"/>
      <c r="J33" s="119"/>
      <c r="K33" s="119"/>
      <c r="L33" s="119"/>
      <c r="M33" s="119"/>
    </row>
    <row r="34" spans="1:13" ht="15" x14ac:dyDescent="0.2">
      <c r="A34" s="119"/>
      <c r="B34" s="119"/>
      <c r="C34" s="121"/>
      <c r="D34" s="119"/>
      <c r="E34" s="119"/>
      <c r="F34" s="119"/>
      <c r="G34" s="119"/>
      <c r="H34" s="119"/>
      <c r="I34" s="119"/>
      <c r="J34" s="119"/>
      <c r="K34" s="119"/>
      <c r="L34" s="119"/>
      <c r="M34" s="119"/>
    </row>
    <row r="35" spans="1:13" ht="15" x14ac:dyDescent="0.2">
      <c r="A35" s="119"/>
      <c r="B35" s="119"/>
      <c r="C35" s="121"/>
      <c r="D35" s="119"/>
      <c r="E35" s="119"/>
      <c r="F35" s="119"/>
      <c r="G35" s="119"/>
      <c r="H35" s="119"/>
      <c r="I35" s="119"/>
      <c r="J35" s="119"/>
      <c r="K35" s="119"/>
      <c r="L35" s="119"/>
      <c r="M35" s="119"/>
    </row>
    <row r="36" spans="1:13" ht="15" x14ac:dyDescent="0.2">
      <c r="A36" s="119"/>
      <c r="B36" s="119"/>
      <c r="C36" s="121"/>
      <c r="D36" s="119"/>
      <c r="E36" s="119"/>
      <c r="F36" s="119"/>
      <c r="G36" s="119"/>
      <c r="H36" s="119"/>
      <c r="I36" s="119"/>
      <c r="J36" s="119"/>
      <c r="K36" s="119"/>
      <c r="L36" s="119"/>
      <c r="M36" s="119"/>
    </row>
    <row r="37" spans="1:13" ht="15" x14ac:dyDescent="0.2">
      <c r="A37" s="119"/>
      <c r="B37" s="119"/>
      <c r="C37" s="121"/>
      <c r="D37" s="119"/>
      <c r="E37" s="119"/>
      <c r="F37" s="119"/>
      <c r="G37" s="119"/>
      <c r="H37" s="119"/>
      <c r="I37" s="119"/>
      <c r="J37" s="119"/>
      <c r="K37" s="119"/>
      <c r="L37" s="119"/>
      <c r="M37" s="119"/>
    </row>
    <row r="38" spans="1:13" ht="15" x14ac:dyDescent="0.2">
      <c r="A38" s="119"/>
      <c r="B38" s="119"/>
      <c r="C38" s="121"/>
      <c r="D38" s="119"/>
      <c r="E38" s="119"/>
      <c r="F38" s="119"/>
      <c r="G38" s="119"/>
      <c r="H38" s="119"/>
      <c r="I38" s="119"/>
      <c r="J38" s="119"/>
      <c r="K38" s="119"/>
      <c r="L38" s="119"/>
      <c r="M38" s="119"/>
    </row>
    <row r="39" spans="1:13" ht="15" x14ac:dyDescent="0.2">
      <c r="A39" s="119"/>
      <c r="B39" s="119"/>
      <c r="C39" s="121"/>
      <c r="D39" s="119"/>
      <c r="E39" s="119"/>
      <c r="F39" s="119"/>
      <c r="G39" s="119"/>
      <c r="H39" s="119"/>
      <c r="I39" s="119"/>
      <c r="J39" s="119"/>
      <c r="K39" s="119"/>
      <c r="L39" s="119"/>
      <c r="M39" s="119"/>
    </row>
    <row r="40" spans="1:13" ht="15" x14ac:dyDescent="0.2">
      <c r="A40" s="119"/>
      <c r="B40" s="119"/>
      <c r="C40" s="121"/>
      <c r="D40" s="119"/>
      <c r="E40" s="119"/>
      <c r="F40" s="119"/>
      <c r="G40" s="119"/>
      <c r="H40" s="119"/>
      <c r="I40" s="119"/>
      <c r="J40" s="119"/>
      <c r="K40" s="119"/>
      <c r="L40" s="119"/>
      <c r="M40" s="119"/>
    </row>
    <row r="41" spans="1:13" ht="15" x14ac:dyDescent="0.2">
      <c r="A41" s="119"/>
      <c r="B41" s="119"/>
      <c r="C41" s="121"/>
      <c r="D41" s="119"/>
      <c r="E41" s="119"/>
      <c r="F41" s="119"/>
      <c r="G41" s="119"/>
      <c r="H41" s="119"/>
      <c r="I41" s="119"/>
      <c r="J41" s="119"/>
      <c r="K41" s="119"/>
      <c r="L41" s="119"/>
      <c r="M41" s="119"/>
    </row>
    <row r="42" spans="1:13" ht="15" x14ac:dyDescent="0.2">
      <c r="A42" s="119"/>
      <c r="B42" s="119"/>
      <c r="C42" s="121"/>
      <c r="D42" s="119"/>
      <c r="E42" s="119"/>
      <c r="F42" s="119"/>
      <c r="G42" s="119"/>
      <c r="H42" s="119"/>
      <c r="I42" s="119"/>
      <c r="J42" s="119"/>
      <c r="K42" s="119"/>
      <c r="L42" s="119"/>
      <c r="M42" s="119"/>
    </row>
    <row r="43" spans="1:13" ht="15" x14ac:dyDescent="0.2">
      <c r="A43" s="119"/>
      <c r="B43" s="119"/>
      <c r="C43" s="121"/>
      <c r="D43" s="119"/>
      <c r="E43" s="119"/>
      <c r="F43" s="119"/>
      <c r="G43" s="119"/>
      <c r="H43" s="119"/>
      <c r="I43" s="119"/>
      <c r="J43" s="119"/>
      <c r="K43" s="119"/>
      <c r="L43" s="119"/>
      <c r="M43" s="119"/>
    </row>
    <row r="44" spans="1:13" ht="15" x14ac:dyDescent="0.2">
      <c r="A44" s="119"/>
      <c r="B44" s="119"/>
      <c r="C44" s="121"/>
      <c r="D44" s="119"/>
      <c r="E44" s="119"/>
      <c r="F44" s="119"/>
      <c r="G44" s="119"/>
      <c r="H44" s="119"/>
      <c r="I44" s="119"/>
      <c r="J44" s="119"/>
      <c r="K44" s="119"/>
      <c r="L44" s="119"/>
      <c r="M44" s="119"/>
    </row>
    <row r="45" spans="1:13" ht="15" x14ac:dyDescent="0.2">
      <c r="A45" s="119"/>
      <c r="B45" s="119"/>
      <c r="C45" s="121"/>
      <c r="D45" s="119"/>
      <c r="E45" s="119"/>
      <c r="F45" s="119"/>
      <c r="G45" s="119"/>
      <c r="H45" s="119"/>
      <c r="I45" s="119"/>
      <c r="J45" s="119"/>
      <c r="K45" s="119"/>
      <c r="L45" s="119"/>
      <c r="M45" s="119"/>
    </row>
    <row r="46" spans="1:13" ht="15" x14ac:dyDescent="0.2">
      <c r="A46" s="119"/>
      <c r="B46" s="119"/>
      <c r="C46" s="121"/>
      <c r="D46" s="119"/>
      <c r="E46" s="119"/>
      <c r="F46" s="119"/>
      <c r="G46" s="119"/>
      <c r="H46" s="119"/>
      <c r="I46" s="119"/>
      <c r="J46" s="119"/>
      <c r="K46" s="119"/>
      <c r="L46" s="119"/>
      <c r="M46" s="119"/>
    </row>
    <row r="47" spans="1:13" ht="15" x14ac:dyDescent="0.2">
      <c r="A47" s="119"/>
      <c r="B47" s="119"/>
      <c r="C47" s="121"/>
      <c r="D47" s="119"/>
      <c r="E47" s="119"/>
      <c r="F47" s="119"/>
      <c r="G47" s="119"/>
      <c r="H47" s="119"/>
      <c r="I47" s="119"/>
      <c r="J47" s="119"/>
      <c r="K47" s="119"/>
      <c r="L47" s="119"/>
      <c r="M47" s="119"/>
    </row>
    <row r="48" spans="1:13" ht="15" x14ac:dyDescent="0.2">
      <c r="A48" s="119"/>
      <c r="B48" s="119"/>
      <c r="C48" s="121"/>
      <c r="D48" s="119"/>
      <c r="E48" s="119"/>
      <c r="F48" s="119"/>
      <c r="G48" s="119"/>
      <c r="H48" s="119"/>
      <c r="I48" s="119"/>
      <c r="J48" s="119"/>
      <c r="K48" s="119"/>
      <c r="L48" s="119"/>
      <c r="M48" s="119"/>
    </row>
    <row r="49" spans="1:13" ht="15" x14ac:dyDescent="0.2">
      <c r="A49" s="119"/>
      <c r="B49" s="119"/>
      <c r="C49" s="121"/>
      <c r="D49" s="119"/>
      <c r="E49" s="119"/>
      <c r="F49" s="119"/>
      <c r="G49" s="119"/>
      <c r="H49" s="119"/>
      <c r="I49" s="119"/>
      <c r="J49" s="119"/>
      <c r="K49" s="119"/>
      <c r="L49" s="119"/>
      <c r="M49" s="119"/>
    </row>
    <row r="50" spans="1:13" ht="15" x14ac:dyDescent="0.2">
      <c r="A50" s="119"/>
      <c r="B50" s="119"/>
      <c r="C50" s="121"/>
      <c r="D50" s="119"/>
      <c r="E50" s="119"/>
      <c r="F50" s="119"/>
      <c r="G50" s="119"/>
      <c r="H50" s="119"/>
      <c r="I50" s="119"/>
      <c r="J50" s="119"/>
      <c r="K50" s="119"/>
      <c r="L50" s="119"/>
      <c r="M50" s="119"/>
    </row>
    <row r="51" spans="1:13" ht="15" x14ac:dyDescent="0.2">
      <c r="A51" s="119"/>
      <c r="B51" s="119"/>
      <c r="C51" s="121"/>
      <c r="D51" s="119"/>
      <c r="E51" s="119"/>
      <c r="F51" s="119"/>
      <c r="G51" s="119"/>
      <c r="H51" s="119"/>
      <c r="I51" s="119"/>
      <c r="J51" s="119"/>
      <c r="K51" s="119"/>
      <c r="L51" s="119"/>
      <c r="M51" s="119"/>
    </row>
    <row r="52" spans="1:13" ht="15" x14ac:dyDescent="0.2">
      <c r="A52" s="119"/>
      <c r="B52" s="119"/>
      <c r="C52" s="121"/>
      <c r="D52" s="119"/>
      <c r="E52" s="119"/>
      <c r="F52" s="119"/>
      <c r="G52" s="119"/>
      <c r="H52" s="119"/>
      <c r="I52" s="119"/>
      <c r="J52" s="119"/>
      <c r="K52" s="119"/>
      <c r="L52" s="119"/>
      <c r="M52" s="119"/>
    </row>
    <row r="53" spans="1:13" ht="15" x14ac:dyDescent="0.2">
      <c r="A53" s="119"/>
      <c r="B53" s="119"/>
      <c r="C53" s="121"/>
      <c r="D53" s="119"/>
      <c r="E53" s="119"/>
      <c r="F53" s="119"/>
      <c r="G53" s="119"/>
      <c r="H53" s="119"/>
      <c r="I53" s="119"/>
      <c r="J53" s="119"/>
      <c r="K53" s="119"/>
      <c r="L53" s="119"/>
      <c r="M53" s="119"/>
    </row>
    <row r="54" spans="1:13" ht="15" x14ac:dyDescent="0.2">
      <c r="A54" s="119"/>
      <c r="B54" s="119"/>
      <c r="C54" s="121"/>
      <c r="D54" s="119"/>
      <c r="E54" s="119"/>
      <c r="F54" s="119"/>
      <c r="G54" s="119"/>
      <c r="H54" s="119"/>
      <c r="I54" s="119"/>
      <c r="J54" s="119"/>
      <c r="K54" s="119"/>
      <c r="L54" s="119"/>
      <c r="M54" s="119"/>
    </row>
    <row r="55" spans="1:13" ht="15" x14ac:dyDescent="0.2">
      <c r="A55" s="119"/>
      <c r="B55" s="119"/>
      <c r="C55" s="121"/>
      <c r="D55" s="119"/>
      <c r="E55" s="119"/>
      <c r="F55" s="119"/>
      <c r="G55" s="119"/>
      <c r="H55" s="119"/>
      <c r="I55" s="119"/>
      <c r="J55" s="119"/>
      <c r="K55" s="119"/>
      <c r="L55" s="119"/>
      <c r="M55" s="119"/>
    </row>
    <row r="56" spans="1:13" ht="15" x14ac:dyDescent="0.2">
      <c r="A56" s="119"/>
      <c r="B56" s="119"/>
      <c r="C56" s="121"/>
      <c r="D56" s="119"/>
      <c r="E56" s="119"/>
      <c r="F56" s="119"/>
      <c r="G56" s="119"/>
      <c r="H56" s="119"/>
      <c r="I56" s="119"/>
      <c r="J56" s="119"/>
      <c r="K56" s="119"/>
      <c r="L56" s="119"/>
      <c r="M56" s="119"/>
    </row>
    <row r="57" spans="1:13" ht="15" x14ac:dyDescent="0.2">
      <c r="A57" s="119"/>
      <c r="B57" s="119"/>
      <c r="C57" s="121"/>
      <c r="D57" s="119"/>
      <c r="E57" s="119"/>
      <c r="F57" s="119"/>
      <c r="G57" s="119"/>
      <c r="H57" s="119"/>
      <c r="I57" s="119"/>
      <c r="J57" s="119"/>
      <c r="K57" s="119"/>
      <c r="L57" s="119"/>
      <c r="M57" s="119"/>
    </row>
    <row r="58" spans="1:13" ht="15" x14ac:dyDescent="0.2">
      <c r="K58" s="119"/>
      <c r="L58" s="119"/>
      <c r="M58" s="119"/>
    </row>
    <row r="59" spans="1:13" ht="15" x14ac:dyDescent="0.2">
      <c r="K59" s="119"/>
      <c r="L59" s="119"/>
      <c r="M59" s="119"/>
    </row>
  </sheetData>
  <mergeCells count="2">
    <mergeCell ref="A2:J2"/>
    <mergeCell ref="A1:J1"/>
  </mergeCells>
  <phoneticPr fontId="1" type="noConversion"/>
  <pageMargins left="0.7" right="0.7" top="0.75" bottom="0.75" header="0.3" footer="0.3"/>
  <pageSetup orientation="portrait" horizontalDpi="0" verticalDpi="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6899B-340C-9044-88A0-3F3B163A16C8}">
  <sheetPr>
    <tabColor theme="9" tint="-0.499984740745262"/>
  </sheetPr>
  <dimension ref="A1:AC59"/>
  <sheetViews>
    <sheetView workbookViewId="0">
      <selection activeCell="C14" sqref="C14"/>
    </sheetView>
  </sheetViews>
  <sheetFormatPr baseColWidth="10" defaultRowHeight="16" x14ac:dyDescent="0.2"/>
  <cols>
    <col min="1" max="1" width="21.6640625" style="143" customWidth="1"/>
    <col min="2" max="2" width="69.6640625" style="143" bestFit="1" customWidth="1"/>
    <col min="3" max="4" width="14.33203125" style="143" customWidth="1"/>
    <col min="5" max="8" width="41" style="143" customWidth="1"/>
    <col min="9" max="12" width="20.5" style="143" customWidth="1"/>
    <col min="13" max="13" width="41.6640625" style="143" bestFit="1" customWidth="1"/>
    <col min="14" max="14" width="40.83203125" style="143" bestFit="1" customWidth="1"/>
    <col min="15" max="17" width="20.5" style="143" customWidth="1"/>
    <col min="18" max="18" width="22.83203125" style="143" bestFit="1" customWidth="1"/>
    <col min="19" max="19" width="255.83203125" style="143" bestFit="1" customWidth="1"/>
    <col min="20" max="20" width="24.5" style="143" customWidth="1"/>
    <col min="23" max="23" width="10.83203125" style="143" customWidth="1"/>
    <col min="30" max="16384" width="10.83203125" style="143"/>
  </cols>
  <sheetData>
    <row r="1" spans="1:29" ht="17" x14ac:dyDescent="0.25">
      <c r="A1" s="558" t="s">
        <v>147</v>
      </c>
      <c r="B1" s="558"/>
      <c r="C1" s="558"/>
      <c r="D1" s="558"/>
      <c r="E1" s="558"/>
      <c r="F1" s="558"/>
      <c r="G1" s="558"/>
      <c r="H1" s="558"/>
      <c r="I1" s="558"/>
      <c r="J1" s="558"/>
      <c r="K1" s="558"/>
      <c r="L1" s="558"/>
      <c r="M1" s="558"/>
      <c r="N1" s="558"/>
      <c r="O1" s="558"/>
      <c r="P1" s="558"/>
      <c r="Q1" s="558"/>
      <c r="R1" s="558"/>
      <c r="S1" s="558"/>
      <c r="U1" s="143"/>
      <c r="V1" s="143"/>
      <c r="X1" s="143"/>
      <c r="Y1" s="143"/>
      <c r="Z1" s="143"/>
      <c r="AA1" s="143"/>
      <c r="AB1" s="143"/>
      <c r="AC1" s="143"/>
    </row>
    <row r="2" spans="1:29" s="432" customFormat="1" ht="15" x14ac:dyDescent="0.2">
      <c r="A2" s="562" t="s">
        <v>2290</v>
      </c>
      <c r="B2" s="563"/>
      <c r="C2" s="563"/>
      <c r="D2" s="563"/>
      <c r="E2" s="563"/>
      <c r="F2" s="563"/>
      <c r="G2" s="563"/>
      <c r="H2" s="563"/>
      <c r="I2" s="563"/>
      <c r="J2" s="563"/>
      <c r="K2" s="563"/>
      <c r="L2" s="564" t="s">
        <v>2291</v>
      </c>
      <c r="M2" s="470"/>
      <c r="N2" s="470"/>
      <c r="O2" s="470"/>
      <c r="P2" s="470"/>
      <c r="Q2" s="562"/>
      <c r="R2" s="431" t="s">
        <v>2292</v>
      </c>
      <c r="S2" s="382"/>
    </row>
    <row r="3" spans="1:29" ht="15" x14ac:dyDescent="0.2">
      <c r="A3" s="560" t="s">
        <v>104</v>
      </c>
      <c r="B3" s="561"/>
      <c r="C3" s="561"/>
      <c r="D3" s="561"/>
      <c r="E3" s="561"/>
      <c r="F3" s="561" t="s">
        <v>167</v>
      </c>
      <c r="G3" s="561"/>
      <c r="H3" s="561"/>
      <c r="I3" s="559" t="s">
        <v>166</v>
      </c>
      <c r="J3" s="559"/>
      <c r="K3" s="559"/>
      <c r="L3" s="559" t="s">
        <v>168</v>
      </c>
      <c r="M3" s="559"/>
      <c r="N3" s="559"/>
      <c r="O3" s="559"/>
      <c r="P3" s="559"/>
      <c r="Q3" s="559"/>
      <c r="R3" s="382" t="s">
        <v>387</v>
      </c>
      <c r="S3" s="382"/>
      <c r="U3" s="143"/>
      <c r="V3" s="143"/>
      <c r="X3" s="143"/>
      <c r="Y3" s="143"/>
      <c r="Z3" s="143"/>
      <c r="AA3" s="143"/>
      <c r="AB3" s="143"/>
      <c r="AC3" s="143"/>
    </row>
    <row r="4" spans="1:29" x14ac:dyDescent="0.2">
      <c r="A4" s="339" t="s">
        <v>162</v>
      </c>
      <c r="B4" s="340" t="s">
        <v>155</v>
      </c>
      <c r="C4" s="341" t="s">
        <v>159</v>
      </c>
      <c r="D4" s="342" t="s">
        <v>160</v>
      </c>
      <c r="E4" s="343" t="s">
        <v>161</v>
      </c>
      <c r="F4" s="343" t="s">
        <v>165</v>
      </c>
      <c r="G4" s="343" t="s">
        <v>164</v>
      </c>
      <c r="H4" s="342" t="s">
        <v>163</v>
      </c>
      <c r="I4" s="343" t="s">
        <v>393</v>
      </c>
      <c r="J4" s="343" t="s">
        <v>156</v>
      </c>
      <c r="K4" s="183" t="s">
        <v>157</v>
      </c>
      <c r="L4" s="343" t="s">
        <v>1999</v>
      </c>
      <c r="M4" s="343" t="s">
        <v>172</v>
      </c>
      <c r="N4" s="343" t="s">
        <v>158</v>
      </c>
      <c r="O4" s="343" t="s">
        <v>2072</v>
      </c>
      <c r="P4" s="343" t="s">
        <v>2073</v>
      </c>
      <c r="Q4" s="183" t="s">
        <v>2074</v>
      </c>
      <c r="R4" s="339" t="s">
        <v>387</v>
      </c>
      <c r="S4" s="434" t="s">
        <v>174</v>
      </c>
      <c r="U4" s="143"/>
      <c r="V4" s="143"/>
      <c r="X4" s="143"/>
      <c r="Y4" s="143"/>
      <c r="Z4" s="143"/>
      <c r="AA4" s="143"/>
      <c r="AB4" s="143"/>
      <c r="AC4" s="143"/>
    </row>
    <row r="5" spans="1:29" ht="15" x14ac:dyDescent="0.2">
      <c r="A5" s="143" t="s">
        <v>2009</v>
      </c>
      <c r="B5" s="143" t="s">
        <v>2010</v>
      </c>
      <c r="C5" s="143" t="s">
        <v>412</v>
      </c>
      <c r="D5" s="143" t="s">
        <v>408</v>
      </c>
      <c r="E5" s="143" t="s">
        <v>2011</v>
      </c>
      <c r="F5" s="143" t="s">
        <v>2012</v>
      </c>
      <c r="G5" s="143" t="s">
        <v>2013</v>
      </c>
      <c r="H5" s="143" t="s">
        <v>2014</v>
      </c>
      <c r="I5" s="143" t="s">
        <v>398</v>
      </c>
      <c r="J5" s="143" t="s">
        <v>596</v>
      </c>
      <c r="K5" s="143" t="str">
        <f>IF(AND(RiskRegister[[#This Row],[Consequence]]&lt;&gt;"",RiskRegister[[#This Row],[Probability]]&lt;&gt;""),VLOOKUP(RiskRegister[[#This Row],[Consequence]],RiskMatrix[],MATCH(RiskRegister[[#This Row],[Probability]],RiskMatrix[#Headers],0),0),"")</f>
        <v>High (H)</v>
      </c>
      <c r="L5" s="143" t="s">
        <v>2002</v>
      </c>
      <c r="M5" s="143" t="s">
        <v>2015</v>
      </c>
      <c r="N5" s="143" t="s">
        <v>2075</v>
      </c>
      <c r="O5" s="143" t="s">
        <v>37</v>
      </c>
      <c r="P5" s="143" t="s">
        <v>596</v>
      </c>
      <c r="Q5" s="143" t="str">
        <f>IF(AND(RiskRegister[[#This Row],[Residual Consequence]]&lt;&gt;"",RiskRegister[[#This Row],[Residual Probability]]&lt;&gt;""),VLOOKUP(RiskRegister[[#This Row],[Residual Consequence]],RiskMatrix[],MATCH(RiskRegister[[#This Row],[Residual Probability]],RiskMatrix[#Headers],0),0),"")</f>
        <v>Medium (M)</v>
      </c>
      <c r="R5" s="143" t="s">
        <v>192</v>
      </c>
      <c r="S5" s="143" t="str">
        <f>RiskRegister[[#This Row],[Risk Short Name]]&amp;" (Category: "&amp;RiskRegister[[#This Row],[Risk Category]]&amp;"-"&amp;RiskRegister[[#This Row],[Risk Type]]&amp;"): "&amp;RiskRegister[[#This Row],[Risk Description]]&amp;" (Risk Control: "&amp;RiskRegister[[#This Row],[Control Type]]&amp;"-"&amp;RiskRegister[[#This Row],[Implementation]]&amp;") (Residual Risk Level: "&amp;RiskRegister[[#This Row],[Residucal Risk Level]]&amp;"; Accept: "&amp;RiskRegister[[#This Row],[Risk Acceptance]]&amp;")"</f>
        <v>U.S. Budget Acceleration (Category: Systemic-Hazard): U.S. defense cuts accelerate faster and deeper than projected, collapsing domestic revenue. (Risk Control: Elimination-The CEO and Phase 1 team reprioritize milestones o, p, v, and w within the existing $430M cap, costing less than a 20% DoD revenue loss; leadership has authority to enforce reprioritization, the team has capacity to execute, and the staff are willing to comply; reduces consequence from Critical to Moderate, lowering risk from High to Medium.) (Residual Risk Level: Medium (M); Accept: Yes)</v>
      </c>
      <c r="U5" s="143"/>
      <c r="V5" s="143"/>
      <c r="X5" s="143"/>
      <c r="Y5" s="143"/>
      <c r="Z5" s="143"/>
      <c r="AA5" s="143"/>
      <c r="AB5" s="143"/>
      <c r="AC5" s="143"/>
    </row>
    <row r="6" spans="1:29" ht="15" x14ac:dyDescent="0.2">
      <c r="A6" s="143" t="s">
        <v>2016</v>
      </c>
      <c r="B6" s="143" t="s">
        <v>2017</v>
      </c>
      <c r="C6" s="143" t="s">
        <v>154</v>
      </c>
      <c r="D6" s="143" t="s">
        <v>408</v>
      </c>
      <c r="E6" s="143" t="s">
        <v>1423</v>
      </c>
      <c r="F6" s="143" t="s">
        <v>2018</v>
      </c>
      <c r="G6" s="143" t="s">
        <v>2019</v>
      </c>
      <c r="H6" s="143" t="s">
        <v>2020</v>
      </c>
      <c r="I6" s="143" t="s">
        <v>398</v>
      </c>
      <c r="J6" s="143" t="s">
        <v>596</v>
      </c>
      <c r="K6" s="143" t="str">
        <f>IF(AND(RiskRegister[[#This Row],[Consequence]]&lt;&gt;"",RiskRegister[[#This Row],[Probability]]&lt;&gt;""),VLOOKUP(RiskRegister[[#This Row],[Consequence]],RiskMatrix[],MATCH(RiskRegister[[#This Row],[Probability]],RiskMatrix[#Headers],0),0),"")</f>
        <v>High (H)</v>
      </c>
      <c r="L6" s="143" t="s">
        <v>2001</v>
      </c>
      <c r="M6" s="143" t="s">
        <v>2021</v>
      </c>
      <c r="N6" s="143" t="s">
        <v>2076</v>
      </c>
      <c r="O6" s="143" t="s">
        <v>37</v>
      </c>
      <c r="P6" s="143" t="s">
        <v>596</v>
      </c>
      <c r="Q6" s="143" t="str">
        <f>IF(AND(RiskRegister[[#This Row],[Residual Consequence]]&lt;&gt;"",RiskRegister[[#This Row],[Residual Probability]]&lt;&gt;""),VLOOKUP(RiskRegister[[#This Row],[Residual Consequence]],RiskMatrix[],MATCH(RiskRegister[[#This Row],[Residual Probability]],RiskMatrix[#Headers],0),0),"")</f>
        <v>Medium (M)</v>
      </c>
      <c r="R6" s="143" t="s">
        <v>192</v>
      </c>
      <c r="S6" s="143" t="str">
        <f>RiskRegister[[#This Row],[Risk Short Name]]&amp;" (Category: "&amp;RiskRegister[[#This Row],[Risk Category]]&amp;"-"&amp;RiskRegister[[#This Row],[Risk Type]]&amp;"): "&amp;RiskRegister[[#This Row],[Risk Description]]&amp;" (Risk Control: "&amp;RiskRegister[[#This Row],[Control Type]]&amp;"-"&amp;RiskRegister[[#This Row],[Implementation]]&amp;") (Residual Risk Level: "&amp;RiskRegister[[#This Row],[Residucal Risk Level]]&amp;"; Accept: "&amp;RiskRegister[[#This Row],[Risk Acceptance]]&amp;")"</f>
        <v>Export License Delay (Category: Operational-Hazard): ITAR/FMS approvals exceed 36 months, delaying Southeast Asian market entry. (Risk Control: Physical-The Government Relations team executes the $2.5M advocacy program, costing less than losing first-mover position; the team has established congressional access and authority to engage; staff are trained, willing, and capable of sustaining the effort; reduces initial risk from High to Medium.) (Residual Risk Level: Medium (M); Accept: Yes)</v>
      </c>
      <c r="U6" s="143"/>
      <c r="V6" s="143"/>
      <c r="X6" s="143"/>
      <c r="Y6" s="143"/>
      <c r="Z6" s="143"/>
      <c r="AA6" s="143"/>
      <c r="AB6" s="143"/>
      <c r="AC6" s="143"/>
    </row>
    <row r="7" spans="1:29" ht="15" x14ac:dyDescent="0.2">
      <c r="A7" s="143" t="s">
        <v>2022</v>
      </c>
      <c r="B7" s="143" t="s">
        <v>2023</v>
      </c>
      <c r="C7" s="143" t="s">
        <v>154</v>
      </c>
      <c r="D7" s="143" t="s">
        <v>15</v>
      </c>
      <c r="E7" s="143" t="s">
        <v>1559</v>
      </c>
      <c r="F7" s="143" t="s">
        <v>2024</v>
      </c>
      <c r="G7" s="143" t="s">
        <v>2025</v>
      </c>
      <c r="H7" s="143" t="s">
        <v>2026</v>
      </c>
      <c r="I7" s="143" t="s">
        <v>399</v>
      </c>
      <c r="J7" s="143" t="s">
        <v>401</v>
      </c>
      <c r="K7" s="143" t="str">
        <f>IF(AND(RiskRegister[[#This Row],[Consequence]]&lt;&gt;"",RiskRegister[[#This Row],[Probability]]&lt;&gt;""),VLOOKUP(RiskRegister[[#This Row],[Consequence]],RiskMatrix[],MATCH(RiskRegister[[#This Row],[Probability]],RiskMatrix[#Headers],0),0),"")</f>
        <v>Medium (M)</v>
      </c>
      <c r="L7" s="143" t="s">
        <v>2001</v>
      </c>
      <c r="M7" s="143" t="s">
        <v>2027</v>
      </c>
      <c r="N7" s="143" t="s">
        <v>2077</v>
      </c>
      <c r="O7" s="143" t="s">
        <v>398</v>
      </c>
      <c r="P7" s="143" t="s">
        <v>401</v>
      </c>
      <c r="Q7" s="143" t="str">
        <f>IF(AND(RiskRegister[[#This Row],[Residual Consequence]]&lt;&gt;"",RiskRegister[[#This Row],[Residual Probability]]&lt;&gt;""),VLOOKUP(RiskRegister[[#This Row],[Residual Consequence]],RiskMatrix[],MATCH(RiskRegister[[#This Row],[Residual Probability]],RiskMatrix[#Headers],0),0),"")</f>
        <v>Medium (M)</v>
      </c>
      <c r="R7" s="143" t="s">
        <v>192</v>
      </c>
      <c r="S7" s="143" t="str">
        <f>RiskRegister[[#This Row],[Risk Short Name]]&amp;" (Category: "&amp;RiskRegister[[#This Row],[Risk Category]]&amp;"-"&amp;RiskRegister[[#This Row],[Risk Type]]&amp;"): "&amp;RiskRegister[[#This Row],[Risk Description]]&amp;" (Risk Control: "&amp;RiskRegister[[#This Row],[Control Type]]&amp;"-"&amp;RiskRegister[[#This Row],[Implementation]]&amp;") (Residual Risk Level: "&amp;RiskRegister[[#This Row],[Residucal Risk Level]]&amp;"; Accept: "&amp;RiskRegister[[#This Row],[Risk Acceptance]]&amp;")"</f>
        <v>Nation-State Cyber Breach (Category: Operational-Threat): Nation-state actor compromises Sentinel's proprietary armor technology and manufacturing IP. (Risk Control: Physical-The IT Security team deploys the $12.5M SOC and achieves CMMC Level 3 certification, costing less than catastrophic IP loss; board-level authority compels compliance; technically capable staff sustain certification and monitoring; reduces risk from High to Medium.) (Residual Risk Level: Medium (M); Accept: Yes)</v>
      </c>
      <c r="U7" s="143"/>
      <c r="V7" s="143"/>
      <c r="X7" s="143"/>
      <c r="Y7" s="143"/>
      <c r="Z7" s="143"/>
      <c r="AA7" s="143"/>
      <c r="AB7" s="143"/>
      <c r="AC7" s="143"/>
    </row>
    <row r="8" spans="1:29" ht="15" x14ac:dyDescent="0.2">
      <c r="A8" s="143" t="s">
        <v>2028</v>
      </c>
      <c r="B8" s="143" t="s">
        <v>2029</v>
      </c>
      <c r="C8" s="143" t="s">
        <v>154</v>
      </c>
      <c r="D8" s="143" t="s">
        <v>408</v>
      </c>
      <c r="E8" s="143" t="s">
        <v>1412</v>
      </c>
      <c r="F8" s="143" t="s">
        <v>2030</v>
      </c>
      <c r="G8" s="143" t="s">
        <v>2031</v>
      </c>
      <c r="H8" s="143" t="s">
        <v>2032</v>
      </c>
      <c r="I8" s="143" t="s">
        <v>398</v>
      </c>
      <c r="J8" s="143" t="s">
        <v>596</v>
      </c>
      <c r="K8" s="143" t="str">
        <f>IF(AND(RiskRegister[[#This Row],[Consequence]]&lt;&gt;"",RiskRegister[[#This Row],[Probability]]&lt;&gt;""),VLOOKUP(RiskRegister[[#This Row],[Consequence]],RiskMatrix[],MATCH(RiskRegister[[#This Row],[Probability]],RiskMatrix[#Headers],0),0),"")</f>
        <v>High (H)</v>
      </c>
      <c r="L8" s="143" t="s">
        <v>2001</v>
      </c>
      <c r="M8" s="143" t="s">
        <v>2033</v>
      </c>
      <c r="N8" s="143" t="s">
        <v>2078</v>
      </c>
      <c r="O8" s="143" t="s">
        <v>37</v>
      </c>
      <c r="P8" s="143" t="s">
        <v>596</v>
      </c>
      <c r="Q8" s="143" t="str">
        <f>IF(AND(RiskRegister[[#This Row],[Residual Consequence]]&lt;&gt;"",RiskRegister[[#This Row],[Residual Probability]]&lt;&gt;""),VLOOKUP(RiskRegister[[#This Row],[Residual Consequence]],RiskMatrix[],MATCH(RiskRegister[[#This Row],[Residual Probability]],RiskMatrix[#Headers],0),0),"")</f>
        <v>Medium (M)</v>
      </c>
      <c r="R8" s="143" t="s">
        <v>192</v>
      </c>
      <c r="S8" s="143" t="str">
        <f>RiskRegister[[#This Row],[Risk Short Name]]&amp;" (Category: "&amp;RiskRegister[[#This Row],[Risk Category]]&amp;"-"&amp;RiskRegister[[#This Row],[Risk Type]]&amp;"): "&amp;RiskRegister[[#This Row],[Risk Description]]&amp;" (Risk Control: "&amp;RiskRegister[[#This Row],[Control Type]]&amp;"-"&amp;RiskRegister[[#This Row],[Implementation]]&amp;") (Residual Risk Level: "&amp;RiskRegister[[#This Row],[Residucal Risk Level]]&amp;"; Accept: "&amp;RiskRegister[[#This Row],[Risk Acceptance]]&amp;")"</f>
        <v>Automation Cost Overrun (Category: Operational-Hazard): Robotic assembly deployment exceeds phased budget, stalling dual-market production. (Risk Control: Physical-The Procurement team executes fixed-price contracts with milestone-based payments, costing less than production delays; legal authority enforces penalty clauses; vendors are contractually obligated and capable of compliance; reduces consequence from Critical to Moderate, lowering risk from High to Medium.) (Residual Risk Level: Medium (M); Accept: Yes)</v>
      </c>
      <c r="U8" s="143"/>
      <c r="V8" s="143"/>
      <c r="X8" s="143"/>
      <c r="Y8" s="143"/>
      <c r="Z8" s="143"/>
      <c r="AA8" s="143"/>
      <c r="AB8" s="143"/>
      <c r="AC8" s="143"/>
    </row>
    <row r="9" spans="1:29" ht="15" x14ac:dyDescent="0.2">
      <c r="A9" s="143" t="s">
        <v>2034</v>
      </c>
      <c r="B9" s="143" t="s">
        <v>2035</v>
      </c>
      <c r="C9" s="143" t="s">
        <v>154</v>
      </c>
      <c r="D9" s="143" t="s">
        <v>15</v>
      </c>
      <c r="E9" s="143" t="s">
        <v>1410</v>
      </c>
      <c r="F9" s="143" t="s">
        <v>2036</v>
      </c>
      <c r="G9" s="143" t="s">
        <v>2037</v>
      </c>
      <c r="H9" s="143" t="s">
        <v>2038</v>
      </c>
      <c r="I9" s="143" t="s">
        <v>398</v>
      </c>
      <c r="J9" s="143" t="s">
        <v>401</v>
      </c>
      <c r="K9" s="143" t="str">
        <f>IF(AND(RiskRegister[[#This Row],[Consequence]]&lt;&gt;"",RiskRegister[[#This Row],[Probability]]&lt;&gt;""),VLOOKUP(RiskRegister[[#This Row],[Consequence]],RiskMatrix[],MATCH(RiskRegister[[#This Row],[Probability]],RiskMatrix[#Headers],0),0),"")</f>
        <v>Medium (M)</v>
      </c>
      <c r="L9" s="143" t="s">
        <v>2001</v>
      </c>
      <c r="M9" s="143" t="s">
        <v>2039</v>
      </c>
      <c r="N9" s="143" t="s">
        <v>2079</v>
      </c>
      <c r="O9" s="143" t="s">
        <v>37</v>
      </c>
      <c r="P9" s="143" t="s">
        <v>401</v>
      </c>
      <c r="Q9" s="143" t="str">
        <f>IF(AND(RiskRegister[[#This Row],[Residual Consequence]]&lt;&gt;"",RiskRegister[[#This Row],[Residual Probability]]&lt;&gt;""),VLOOKUP(RiskRegister[[#This Row],[Residual Consequence]],RiskMatrix[],MATCH(RiskRegister[[#This Row],[Residual Probability]],RiskMatrix[#Headers],0),0),"")</f>
        <v>Low (L)</v>
      </c>
      <c r="R9" s="143" t="s">
        <v>192</v>
      </c>
      <c r="S9" s="143" t="str">
        <f>RiskRegister[[#This Row],[Risk Short Name]]&amp;" (Category: "&amp;RiskRegister[[#This Row],[Risk Category]]&amp;"-"&amp;RiskRegister[[#This Row],[Risk Type]]&amp;"): "&amp;RiskRegister[[#This Row],[Risk Description]]&amp;" (Risk Control: "&amp;RiskRegister[[#This Row],[Control Type]]&amp;"-"&amp;RiskRegister[[#This Row],[Implementation]]&amp;") (Residual Risk Level: "&amp;RiskRegister[[#This Row],[Residucal Risk Level]]&amp;"; Accept: "&amp;RiskRegister[[#This Row],[Risk Acceptance]]&amp;")"</f>
        <v>SEA Partner Defection (Category: Operational-Threat): Key regional partner withdraws from joint venture before contract execution. (Risk Control: Physical-The SE Asia Division executes MOUs across the Philippines, Vietnam, and Indonesia within the SE Asia Market Program budget, costing less than a $29M JV collapse; Division leadership has authority to negotiate; relationship managers are trained and capable; reduces risk from Medium to Low.) (Residual Risk Level: Low (L); Accept: Yes)</v>
      </c>
      <c r="U9" s="143"/>
      <c r="V9" s="143"/>
      <c r="X9" s="143"/>
      <c r="Y9" s="143"/>
      <c r="Z9" s="143"/>
      <c r="AA9" s="143"/>
      <c r="AB9" s="143"/>
      <c r="AC9" s="143"/>
    </row>
    <row r="10" spans="1:29" ht="15" x14ac:dyDescent="0.2">
      <c r="A10" s="143" t="s">
        <v>2040</v>
      </c>
      <c r="B10" s="143" t="s">
        <v>2041</v>
      </c>
      <c r="C10" s="143" t="s">
        <v>154</v>
      </c>
      <c r="D10" s="143" t="s">
        <v>408</v>
      </c>
      <c r="E10" s="143" t="s">
        <v>1413</v>
      </c>
      <c r="F10" s="143" t="s">
        <v>2042</v>
      </c>
      <c r="G10" s="143" t="s">
        <v>2043</v>
      </c>
      <c r="H10" s="143" t="s">
        <v>2044</v>
      </c>
      <c r="I10" s="143" t="s">
        <v>398</v>
      </c>
      <c r="J10" s="143" t="s">
        <v>401</v>
      </c>
      <c r="K10" s="143" t="str">
        <f>IF(AND(RiskRegister[[#This Row],[Consequence]]&lt;&gt;"",RiskRegister[[#This Row],[Probability]]&lt;&gt;""),VLOOKUP(RiskRegister[[#This Row],[Consequence]],RiskMatrix[],MATCH(RiskRegister[[#This Row],[Probability]],RiskMatrix[#Headers],0),0),"")</f>
        <v>Medium (M)</v>
      </c>
      <c r="L10" s="143" t="s">
        <v>2000</v>
      </c>
      <c r="M10" s="143" t="s">
        <v>2045</v>
      </c>
      <c r="N10" s="143" t="s">
        <v>2080</v>
      </c>
      <c r="O10" s="143" t="s">
        <v>37</v>
      </c>
      <c r="P10" s="143" t="s">
        <v>401</v>
      </c>
      <c r="Q10" s="143" t="str">
        <f>IF(AND(RiskRegister[[#This Row],[Residual Consequence]]&lt;&gt;"",RiskRegister[[#This Row],[Residual Probability]]&lt;&gt;""),VLOOKUP(RiskRegister[[#This Row],[Residual Consequence]],RiskMatrix[],MATCH(RiskRegister[[#This Row],[Residual Probability]],RiskMatrix[#Headers],0),0),"")</f>
        <v>Low (L)</v>
      </c>
      <c r="R10" s="143" t="s">
        <v>192</v>
      </c>
      <c r="S10" s="143" t="str">
        <f>RiskRegister[[#This Row],[Risk Short Name]]&amp;" (Category: "&amp;RiskRegister[[#This Row],[Risk Category]]&amp;"-"&amp;RiskRegister[[#This Row],[Risk Type]]&amp;"): "&amp;RiskRegister[[#This Row],[Risk Description]]&amp;" (Risk Control: "&amp;RiskRegister[[#This Row],[Control Type]]&amp;"-"&amp;RiskRegister[[#This Row],[Implementation]]&amp;") (Residual Risk Level: "&amp;RiskRegister[[#This Row],[Residucal Risk Level]]&amp;"; Accept: "&amp;RiskRegister[[#This Row],[Risk Acceptance]]&amp;")"</f>
        <v>Climate Vehicle Delay (Category: Operational-Hazard): Tropical engineering failures extend climate vehicle development beyond 2028 deadline. (Risk Control: Educational-R&amp;D leadership recruits specialized tropical engineers within the Climate Vehicle Program budget, costing less than missing the 2028 procurement window; hiring authority is established; qualified engineers are available in the market and capable of meeting specifications; reduces risk from Medium to Low.) (Residual Risk Level: Low (L); Accept: Yes)</v>
      </c>
      <c r="U10" s="143"/>
      <c r="V10" s="143"/>
      <c r="X10" s="143"/>
      <c r="Y10" s="143"/>
      <c r="Z10" s="143"/>
      <c r="AA10" s="143"/>
      <c r="AB10" s="143"/>
      <c r="AC10" s="143"/>
    </row>
    <row r="11" spans="1:29" ht="15" x14ac:dyDescent="0.2">
      <c r="A11" s="143" t="s">
        <v>2046</v>
      </c>
      <c r="B11" s="143" t="s">
        <v>2047</v>
      </c>
      <c r="C11" s="143" t="s">
        <v>411</v>
      </c>
      <c r="D11" s="143" t="s">
        <v>408</v>
      </c>
      <c r="E11" s="143" t="s">
        <v>2048</v>
      </c>
      <c r="F11" s="143" t="s">
        <v>2049</v>
      </c>
      <c r="G11" s="143" t="s">
        <v>2050</v>
      </c>
      <c r="H11" s="143" t="s">
        <v>2051</v>
      </c>
      <c r="I11" s="143" t="s">
        <v>398</v>
      </c>
      <c r="J11" s="143" t="s">
        <v>596</v>
      </c>
      <c r="K11" s="143" t="str">
        <f>IF(AND(RiskRegister[[#This Row],[Consequence]]&lt;&gt;"",RiskRegister[[#This Row],[Probability]]&lt;&gt;""),VLOOKUP(RiskRegister[[#This Row],[Consequence]],RiskMatrix[],MATCH(RiskRegister[[#This Row],[Probability]],RiskMatrix[#Headers],0),0),"")</f>
        <v>High (H)</v>
      </c>
      <c r="L11" s="143" t="s">
        <v>2000</v>
      </c>
      <c r="M11" s="143" t="s">
        <v>2052</v>
      </c>
      <c r="N11" s="143" t="s">
        <v>2081</v>
      </c>
      <c r="O11" s="143" t="s">
        <v>37</v>
      </c>
      <c r="P11" s="143" t="s">
        <v>596</v>
      </c>
      <c r="Q11" s="143" t="str">
        <f>IF(AND(RiskRegister[[#This Row],[Residual Consequence]]&lt;&gt;"",RiskRegister[[#This Row],[Residual Probability]]&lt;&gt;""),VLOOKUP(RiskRegister[[#This Row],[Residual Consequence]],RiskMatrix[],MATCH(RiskRegister[[#This Row],[Residual Probability]],RiskMatrix[#Headers],0),0),"")</f>
        <v>Medium (M)</v>
      </c>
      <c r="R11" s="143" t="s">
        <v>192</v>
      </c>
      <c r="S11" s="143" t="str">
        <f>RiskRegister[[#This Row],[Risk Short Name]]&amp;" (Category: "&amp;RiskRegister[[#This Row],[Risk Category]]&amp;"-"&amp;RiskRegister[[#This Row],[Risk Type]]&amp;"): "&amp;RiskRegister[[#This Row],[Risk Description]]&amp;" (Risk Control: "&amp;RiskRegister[[#This Row],[Control Type]]&amp;"-"&amp;RiskRegister[[#This Row],[Implementation]]&amp;") (Residual Risk Level: "&amp;RiskRegister[[#This Row],[Residucal Risk Level]]&amp;"; Accept: "&amp;RiskRegister[[#This Row],[Risk Acceptance]]&amp;")"</f>
        <v>Workforce Skill Shortage (Category: Enterprise-Hazard): Insufficient skilled labor constrains dual-market production during automation transition. (Risk Control: Educational-HR leadership mandates the $8M Workforce Transition Program, costing less than dual-market contract penalties; HR has authority to require participation; employees have demonstrated willingness and capability to reskill; reduces consequence from Critical to Moderate, lowering risk from High to Medium.) (Residual Risk Level: Medium (M); Accept: Yes)</v>
      </c>
      <c r="U11" s="143"/>
      <c r="V11" s="143"/>
      <c r="X11" s="143"/>
      <c r="Y11" s="143"/>
      <c r="Z11" s="143"/>
      <c r="AA11" s="143"/>
      <c r="AB11" s="143"/>
      <c r="AC11" s="143"/>
    </row>
    <row r="12" spans="1:29" ht="15" x14ac:dyDescent="0.2">
      <c r="A12" s="143" t="s">
        <v>2053</v>
      </c>
      <c r="B12" s="143" t="s">
        <v>2054</v>
      </c>
      <c r="C12" s="143" t="s">
        <v>411</v>
      </c>
      <c r="D12" s="143" t="s">
        <v>15</v>
      </c>
      <c r="E12" s="143" t="s">
        <v>1416</v>
      </c>
      <c r="F12" s="143" t="s">
        <v>2055</v>
      </c>
      <c r="G12" s="143" t="s">
        <v>2056</v>
      </c>
      <c r="H12" s="143" t="s">
        <v>2057</v>
      </c>
      <c r="I12" s="143" t="s">
        <v>399</v>
      </c>
      <c r="J12" s="143" t="s">
        <v>400</v>
      </c>
      <c r="K12" s="143" t="str">
        <f>IF(AND(RiskRegister[[#This Row],[Consequence]]&lt;&gt;"",RiskRegister[[#This Row],[Probability]]&lt;&gt;""),VLOOKUP(RiskRegister[[#This Row],[Consequence]],RiskMatrix[],MATCH(RiskRegister[[#This Row],[Probability]],RiskMatrix[#Headers],0),0),"")</f>
        <v>Medium (M)</v>
      </c>
      <c r="L12" s="143" t="s">
        <v>2000</v>
      </c>
      <c r="M12" s="143" t="s">
        <v>2058</v>
      </c>
      <c r="N12" s="143" t="s">
        <v>2082</v>
      </c>
      <c r="O12" s="143" t="s">
        <v>398</v>
      </c>
      <c r="P12" s="143" t="s">
        <v>400</v>
      </c>
      <c r="Q12" s="143" t="str">
        <f>IF(AND(RiskRegister[[#This Row],[Residual Consequence]]&lt;&gt;"",RiskRegister[[#This Row],[Residual Probability]]&lt;&gt;""),VLOOKUP(RiskRegister[[#This Row],[Residual Consequence]],RiskMatrix[],MATCH(RiskRegister[[#This Row],[Residual Probability]],RiskMatrix[#Headers],0),0),"")</f>
        <v>Low (L)</v>
      </c>
      <c r="R12" s="143" t="s">
        <v>192</v>
      </c>
      <c r="S12" s="143" t="str">
        <f>RiskRegister[[#This Row],[Risk Short Name]]&amp;" (Category: "&amp;RiskRegister[[#This Row],[Risk Category]]&amp;"-"&amp;RiskRegister[[#This Row],[Risk Type]]&amp;"): "&amp;RiskRegister[[#This Row],[Risk Description]]&amp;" (Risk Control: "&amp;RiskRegister[[#This Row],[Control Type]]&amp;"-"&amp;RiskRegister[[#This Row],[Implementation]]&amp;") (Residual Risk Level: "&amp;RiskRegister[[#This Row],[Residucal Risk Level]]&amp;"; Accept: "&amp;RiskRegister[[#This Row],[Risk Acceptance]]&amp;")"</f>
        <v>FCPA Violation (Category: Enterprise-Threat): Employee engages in bribery to secure Southeast Asian procurement contract. (Risk Control: Educational-The Compliance Office enforces mandatory FCPA certification across all applicable staff, costing less than DOJ prosecution and market exclusion; the office has authority to compel completion; employees are capable and self-disciplined enough to comply; reduces risk from Medium to Low.) (Residual Risk Level: Low (L); Accept: Yes)</v>
      </c>
      <c r="U12" s="143"/>
      <c r="V12" s="143"/>
      <c r="X12" s="143"/>
      <c r="Y12" s="143"/>
      <c r="Z12" s="143"/>
      <c r="AA12" s="143"/>
      <c r="AB12" s="143"/>
      <c r="AC12" s="143"/>
    </row>
    <row r="13" spans="1:29" ht="15" x14ac:dyDescent="0.2">
      <c r="A13" s="143" t="s">
        <v>2059</v>
      </c>
      <c r="B13" s="143" t="s">
        <v>2060</v>
      </c>
      <c r="C13" s="143" t="s">
        <v>412</v>
      </c>
      <c r="D13" s="143" t="s">
        <v>15</v>
      </c>
      <c r="E13" s="143" t="s">
        <v>2061</v>
      </c>
      <c r="F13" s="143" t="s">
        <v>2062</v>
      </c>
      <c r="G13" s="143" t="s">
        <v>2063</v>
      </c>
      <c r="H13" s="143" t="s">
        <v>2064</v>
      </c>
      <c r="I13" s="143" t="s">
        <v>398</v>
      </c>
      <c r="J13" s="143" t="s">
        <v>596</v>
      </c>
      <c r="K13" s="143" t="str">
        <f>IF(AND(RiskRegister[[#This Row],[Consequence]]&lt;&gt;"",RiskRegister[[#This Row],[Probability]]&lt;&gt;""),VLOOKUP(RiskRegister[[#This Row],[Consequence]],RiskMatrix[],MATCH(RiskRegister[[#This Row],[Probability]],RiskMatrix[#Headers],0),0),"")</f>
        <v>High (H)</v>
      </c>
      <c r="L13" s="143" t="s">
        <v>2002</v>
      </c>
      <c r="M13" s="143" t="s">
        <v>2065</v>
      </c>
      <c r="N13" s="143" t="s">
        <v>2083</v>
      </c>
      <c r="O13" s="143" t="s">
        <v>37</v>
      </c>
      <c r="P13" s="143" t="s">
        <v>596</v>
      </c>
      <c r="Q13" s="143" t="str">
        <f>IF(AND(RiskRegister[[#This Row],[Residual Consequence]]&lt;&gt;"",RiskRegister[[#This Row],[Residual Probability]]&lt;&gt;""),VLOOKUP(RiskRegister[[#This Row],[Residual Consequence]],RiskMatrix[],MATCH(RiskRegister[[#This Row],[Residual Probability]],RiskMatrix[#Headers],0),0),"")</f>
        <v>Medium (M)</v>
      </c>
      <c r="R13" s="143" t="s">
        <v>192</v>
      </c>
      <c r="S13" s="143" t="str">
        <f>RiskRegister[[#This Row],[Risk Short Name]]&amp;" (Category: "&amp;RiskRegister[[#This Row],[Risk Category]]&amp;"-"&amp;RiskRegister[[#This Row],[Risk Type]]&amp;"): "&amp;RiskRegister[[#This Row],[Risk Description]]&amp;" (Risk Control: "&amp;RiskRegister[[#This Row],[Control Type]]&amp;"-"&amp;RiskRegister[[#This Row],[Implementation]]&amp;") (Residual Risk Level: "&amp;RiskRegister[[#This Row],[Residucal Risk Level]]&amp;"; Accept: "&amp;RiskRegister[[#This Row],[Risk Acceptance]]&amp;")"</f>
        <v>Competitor First-Mover (Category: Systemic-Threat): Aegis Armorworks secures exclusive SEA offset agreements before Sentinel establishes presence. (Risk Control: Elimination-The CEO and SE Asia Division accelerate milestones o, p, and h within the SE Asia Market Program budget, costing less than losing preferred supplier status; CEO has authority to reprioritize; Division team has capacity and willingness to execute early; reduces consequence from Critical to Moderate, lowering risk from High to Medium.) (Residual Risk Level: Medium (M); Accept: Yes)</v>
      </c>
      <c r="U13" s="143"/>
      <c r="V13" s="143"/>
      <c r="X13" s="143"/>
      <c r="Y13" s="143"/>
      <c r="Z13" s="143"/>
      <c r="AA13" s="143"/>
      <c r="AB13" s="143"/>
      <c r="AC13" s="143"/>
    </row>
    <row r="14" spans="1:29" ht="15" x14ac:dyDescent="0.2">
      <c r="A14" s="143" t="s">
        <v>2066</v>
      </c>
      <c r="B14" s="143" t="s">
        <v>2067</v>
      </c>
      <c r="C14" s="143" t="s">
        <v>412</v>
      </c>
      <c r="D14" s="143" t="s">
        <v>15</v>
      </c>
      <c r="E14" s="143" t="s">
        <v>1423</v>
      </c>
      <c r="F14" s="143" t="s">
        <v>2068</v>
      </c>
      <c r="G14" s="143" t="s">
        <v>2069</v>
      </c>
      <c r="H14" s="143" t="s">
        <v>2070</v>
      </c>
      <c r="I14" s="143" t="s">
        <v>399</v>
      </c>
      <c r="J14" s="143" t="s">
        <v>400</v>
      </c>
      <c r="K14" s="143" t="str">
        <f>IF(AND(RiskRegister[[#This Row],[Consequence]]&lt;&gt;"",RiskRegister[[#This Row],[Probability]]&lt;&gt;""),VLOOKUP(RiskRegister[[#This Row],[Consequence]],RiskMatrix[],MATCH(RiskRegister[[#This Row],[Probability]],RiskMatrix[#Headers],0),0),"")</f>
        <v>Medium (M)</v>
      </c>
      <c r="L14" s="143" t="s">
        <v>2002</v>
      </c>
      <c r="M14" s="143" t="s">
        <v>2071</v>
      </c>
      <c r="N14" s="143" t="s">
        <v>2084</v>
      </c>
      <c r="O14" s="143" t="s">
        <v>399</v>
      </c>
      <c r="P14" s="143" t="s">
        <v>400</v>
      </c>
      <c r="Q14" s="143" t="str">
        <f>IF(AND(RiskRegister[[#This Row],[Residual Consequence]]&lt;&gt;"",RiskRegister[[#This Row],[Residual Probability]]&lt;&gt;""),VLOOKUP(RiskRegister[[#This Row],[Residual Consequence]],RiskMatrix[],MATCH(RiskRegister[[#This Row],[Residual Probability]],RiskMatrix[#Headers],0),0),"")</f>
        <v>Medium (M)</v>
      </c>
      <c r="R14" s="143" t="s">
        <v>192</v>
      </c>
      <c r="S14" s="143" t="str">
        <f>RiskRegister[[#This Row],[Risk Short Name]]&amp;" (Category: "&amp;RiskRegister[[#This Row],[Risk Category]]&amp;"-"&amp;RiskRegister[[#This Row],[Risk Type]]&amp;"): "&amp;RiskRegister[[#This Row],[Risk Description]]&amp;" (Risk Control: "&amp;RiskRegister[[#This Row],[Control Type]]&amp;"-"&amp;RiskRegister[[#This Row],[Implementation]]&amp;") (Residual Risk Level: "&amp;RiskRegister[[#This Row],[Residucal Risk Level]]&amp;"; Accept: "&amp;RiskRegister[[#This Row],[Risk Acceptance]]&amp;")"</f>
        <v>U.S. Policy Restriction (Category: Systemic-Threat): U.S. foreign policy shifts restrict FMS approvals for target Southeast Asian nations. (Risk Control: Elimination-The SE Asia Division simultaneously engages the Philippines, Vietnam, and Indonesia within the SE Asia Market Program budget, costing less than a full CONOP failure; Division leadership has authority and staff for parallel engagement; teams are capable and resourced; maintains risk at Medium as the catastrophic consequence cannot be reduced through diversification alone.) (Residual Risk Level: Medium (M); Accept: Yes)</v>
      </c>
      <c r="U14" s="143"/>
      <c r="V14" s="143"/>
      <c r="X14" s="143"/>
      <c r="Y14" s="143"/>
      <c r="Z14" s="143"/>
      <c r="AA14" s="143"/>
      <c r="AB14" s="143"/>
      <c r="AC14" s="143"/>
    </row>
    <row r="15" spans="1:29" ht="15" x14ac:dyDescent="0.2">
      <c r="U15" s="143"/>
      <c r="V15" s="143"/>
      <c r="X15" s="143"/>
      <c r="Y15" s="143"/>
      <c r="Z15" s="143"/>
      <c r="AA15" s="143"/>
      <c r="AB15" s="143"/>
      <c r="AC15" s="143"/>
    </row>
    <row r="16" spans="1:29" ht="15" x14ac:dyDescent="0.2">
      <c r="U16" s="143"/>
      <c r="V16" s="143"/>
      <c r="X16" s="143"/>
      <c r="Y16" s="143"/>
      <c r="Z16" s="143"/>
      <c r="AA16" s="143"/>
      <c r="AB16" s="143"/>
      <c r="AC16" s="143"/>
    </row>
    <row r="17" spans="14:29" ht="15" x14ac:dyDescent="0.2">
      <c r="U17" s="143"/>
      <c r="V17" s="143"/>
      <c r="X17" s="143"/>
      <c r="Y17" s="143"/>
      <c r="Z17" s="143"/>
      <c r="AA17" s="143"/>
      <c r="AB17" s="143"/>
      <c r="AC17" s="143"/>
    </row>
    <row r="18" spans="14:29" ht="15" x14ac:dyDescent="0.2">
      <c r="U18" s="143"/>
      <c r="V18" s="143"/>
      <c r="X18" s="143"/>
      <c r="Y18" s="143"/>
      <c r="Z18" s="143"/>
      <c r="AA18" s="143"/>
      <c r="AB18" s="143"/>
      <c r="AC18" s="143"/>
    </row>
    <row r="19" spans="14:29" ht="15" x14ac:dyDescent="0.2">
      <c r="U19" s="143"/>
      <c r="V19" s="143"/>
      <c r="X19" s="143"/>
      <c r="Y19" s="143"/>
      <c r="Z19" s="143"/>
      <c r="AA19" s="143"/>
      <c r="AB19" s="143"/>
      <c r="AC19" s="143"/>
    </row>
    <row r="20" spans="14:29" ht="15" x14ac:dyDescent="0.2">
      <c r="U20" s="143"/>
      <c r="V20" s="143"/>
      <c r="X20" s="143"/>
      <c r="Y20" s="143"/>
      <c r="Z20" s="143"/>
      <c r="AA20" s="143"/>
      <c r="AB20" s="143"/>
      <c r="AC20" s="143"/>
    </row>
    <row r="21" spans="14:29" ht="15" x14ac:dyDescent="0.2">
      <c r="U21" s="143"/>
      <c r="V21" s="143"/>
      <c r="X21" s="143"/>
      <c r="Y21" s="143"/>
      <c r="Z21" s="143"/>
      <c r="AA21" s="143"/>
      <c r="AB21" s="143"/>
      <c r="AC21" s="143"/>
    </row>
    <row r="22" spans="14:29" ht="15" x14ac:dyDescent="0.2">
      <c r="U22" s="143"/>
      <c r="V22" s="143"/>
      <c r="X22" s="143"/>
      <c r="Y22" s="143"/>
      <c r="Z22" s="143"/>
      <c r="AA22" s="143"/>
      <c r="AB22" s="143"/>
      <c r="AC22" s="143"/>
    </row>
    <row r="23" spans="14:29" ht="15" x14ac:dyDescent="0.2">
      <c r="N23" s="64"/>
      <c r="O23" s="64"/>
      <c r="P23" s="64"/>
      <c r="Q23" s="64"/>
      <c r="U23" s="143"/>
      <c r="V23" s="143"/>
      <c r="X23" s="143"/>
      <c r="Y23" s="143"/>
      <c r="Z23" s="143"/>
      <c r="AA23" s="143"/>
      <c r="AB23" s="143"/>
      <c r="AC23" s="143"/>
    </row>
    <row r="24" spans="14:29" ht="15" x14ac:dyDescent="0.2">
      <c r="U24" s="143"/>
      <c r="V24" s="143"/>
      <c r="X24" s="143"/>
      <c r="Y24" s="143"/>
      <c r="Z24" s="143"/>
      <c r="AA24" s="143"/>
      <c r="AB24" s="143"/>
      <c r="AC24" s="143"/>
    </row>
    <row r="25" spans="14:29" ht="15" x14ac:dyDescent="0.2">
      <c r="U25" s="143"/>
      <c r="V25" s="143"/>
      <c r="X25" s="143"/>
      <c r="Y25" s="143"/>
      <c r="Z25" s="143"/>
      <c r="AA25" s="143"/>
      <c r="AB25" s="143"/>
      <c r="AC25" s="143"/>
    </row>
    <row r="26" spans="14:29" ht="15" x14ac:dyDescent="0.2">
      <c r="U26" s="143"/>
      <c r="V26" s="143"/>
      <c r="X26" s="143"/>
      <c r="Y26" s="143"/>
      <c r="Z26" s="143"/>
      <c r="AA26" s="143"/>
      <c r="AB26" s="143"/>
      <c r="AC26" s="143"/>
    </row>
    <row r="27" spans="14:29" ht="15" x14ac:dyDescent="0.2">
      <c r="U27" s="143"/>
      <c r="V27" s="143"/>
      <c r="X27" s="143"/>
      <c r="Y27" s="143"/>
      <c r="Z27" s="143"/>
      <c r="AA27" s="143"/>
      <c r="AB27" s="143"/>
      <c r="AC27" s="143"/>
    </row>
    <row r="28" spans="14:29" ht="15" x14ac:dyDescent="0.2">
      <c r="U28" s="143"/>
      <c r="V28" s="143"/>
      <c r="X28" s="143"/>
      <c r="Y28" s="143"/>
      <c r="Z28" s="143"/>
      <c r="AA28" s="143"/>
      <c r="AB28" s="143"/>
      <c r="AC28" s="143"/>
    </row>
    <row r="29" spans="14:29" ht="15" x14ac:dyDescent="0.2">
      <c r="U29" s="143"/>
      <c r="V29" s="143"/>
      <c r="X29" s="143"/>
      <c r="Y29" s="143"/>
      <c r="Z29" s="143"/>
      <c r="AA29" s="143"/>
      <c r="AB29" s="143"/>
      <c r="AC29" s="143"/>
    </row>
    <row r="30" spans="14:29" ht="15" x14ac:dyDescent="0.2">
      <c r="U30" s="143"/>
      <c r="V30" s="143"/>
      <c r="X30" s="143"/>
      <c r="Y30" s="143"/>
      <c r="Z30" s="143"/>
      <c r="AA30" s="143"/>
      <c r="AB30" s="143"/>
      <c r="AC30" s="143"/>
    </row>
    <row r="31" spans="14:29" ht="15" x14ac:dyDescent="0.2">
      <c r="U31" s="143"/>
      <c r="V31" s="143"/>
      <c r="X31" s="143"/>
      <c r="Y31" s="143"/>
      <c r="Z31" s="143"/>
      <c r="AA31" s="143"/>
      <c r="AB31" s="143"/>
      <c r="AC31" s="143"/>
    </row>
    <row r="32" spans="14:29" ht="15" x14ac:dyDescent="0.2">
      <c r="U32" s="143"/>
      <c r="V32" s="143"/>
      <c r="X32" s="143"/>
      <c r="Y32" s="143"/>
      <c r="Z32" s="143"/>
      <c r="AA32" s="143"/>
      <c r="AB32" s="143"/>
      <c r="AC32" s="143"/>
    </row>
    <row r="33" s="143" customFormat="1" ht="15" x14ac:dyDescent="0.2"/>
    <row r="34" s="143" customFormat="1" ht="15" x14ac:dyDescent="0.2"/>
    <row r="35" s="143" customFormat="1" ht="15" x14ac:dyDescent="0.2"/>
    <row r="36" s="143" customFormat="1" ht="15" x14ac:dyDescent="0.2"/>
    <row r="37" s="143" customFormat="1" ht="15" x14ac:dyDescent="0.2"/>
    <row r="38" s="143" customFormat="1" ht="15" x14ac:dyDescent="0.2"/>
    <row r="39" s="143" customFormat="1" ht="15" x14ac:dyDescent="0.2"/>
    <row r="40" s="143" customFormat="1" ht="15" x14ac:dyDescent="0.2"/>
    <row r="41" s="143" customFormat="1" ht="15" x14ac:dyDescent="0.2"/>
    <row r="42" s="143" customFormat="1" ht="15" x14ac:dyDescent="0.2"/>
    <row r="43" s="143" customFormat="1" ht="15" x14ac:dyDescent="0.2"/>
    <row r="44" s="143" customFormat="1" ht="15" x14ac:dyDescent="0.2"/>
    <row r="45" s="143" customFormat="1" ht="15" x14ac:dyDescent="0.2"/>
    <row r="46" s="143" customFormat="1" ht="15" x14ac:dyDescent="0.2"/>
    <row r="47" s="143" customFormat="1" ht="15" x14ac:dyDescent="0.2"/>
    <row r="48" s="143" customFormat="1" ht="15" x14ac:dyDescent="0.2"/>
    <row r="49" s="143" customFormat="1" ht="15" x14ac:dyDescent="0.2"/>
    <row r="50" s="143" customFormat="1" ht="15" x14ac:dyDescent="0.2"/>
    <row r="51" s="143" customFormat="1" ht="15" x14ac:dyDescent="0.2"/>
    <row r="52" s="143" customFormat="1" ht="15" x14ac:dyDescent="0.2"/>
    <row r="53" s="143" customFormat="1" ht="15" x14ac:dyDescent="0.2"/>
    <row r="54" s="143" customFormat="1" ht="15" x14ac:dyDescent="0.2"/>
    <row r="55" s="143" customFormat="1" ht="15" x14ac:dyDescent="0.2"/>
    <row r="56" s="143" customFormat="1" ht="15" x14ac:dyDescent="0.2"/>
    <row r="57" s="143" customFormat="1" ht="15" x14ac:dyDescent="0.2"/>
    <row r="58" s="143" customFormat="1" ht="15" x14ac:dyDescent="0.2"/>
    <row r="59" s="143" customFormat="1" ht="15" x14ac:dyDescent="0.2"/>
  </sheetData>
  <mergeCells count="7">
    <mergeCell ref="A1:S1"/>
    <mergeCell ref="I3:K3"/>
    <mergeCell ref="A3:E3"/>
    <mergeCell ref="F3:H3"/>
    <mergeCell ref="L3:Q3"/>
    <mergeCell ref="A2:K2"/>
    <mergeCell ref="L2:Q2"/>
  </mergeCells>
  <phoneticPr fontId="1" type="noConversion"/>
  <dataValidations count="1">
    <dataValidation type="list" allowBlank="1" showInputMessage="1" showErrorMessage="1" sqref="R5:R14" xr:uid="{D1A43A71-67E1-5F4F-9083-95311FDEA6BF}">
      <formula1>"Yes, No"</formula1>
    </dataValidation>
  </dataValidations>
  <pageMargins left="0.7" right="0.7" top="0.75" bottom="0.75" header="0.3" footer="0.3"/>
  <pageSetup orientation="portrait" horizontalDpi="0" verticalDpi="0"/>
  <ignoredErrors>
    <ignoredError sqref="K8:K12 K5:K6" listDataValidation="1"/>
  </ignoredErrors>
  <tableParts count="1">
    <tablePart r:id="rId1"/>
  </tableParts>
  <extLst>
    <ext xmlns:x14="http://schemas.microsoft.com/office/spreadsheetml/2009/9/main" uri="{CCE6A557-97BC-4b89-ADB6-D9C93CAAB3DF}">
      <x14:dataValidations xmlns:xm="http://schemas.microsoft.com/office/excel/2006/main" count="6">
        <x14:dataValidation type="list" allowBlank="1" showInputMessage="1" showErrorMessage="1" xr:uid="{57AFF553-6D84-3543-BBE0-1D0B1B16F549}">
          <x14:formula1>
            <xm:f>Lists!$DG$12:$DG$15</xm:f>
          </x14:formula1>
          <xm:sqref>O5:O14 I5:I14</xm:sqref>
        </x14:dataValidation>
        <x14:dataValidation type="list" allowBlank="1" showInputMessage="1" showErrorMessage="1" xr:uid="{B8FB2C46-07FD-A548-B8EA-3223CC4F112E}">
          <x14:formula1>
            <xm:f>Lists!$DG$25:$DG$28</xm:f>
          </x14:formula1>
          <xm:sqref>Q5:Q14 K5:K14</xm:sqref>
        </x14:dataValidation>
        <x14:dataValidation type="list" allowBlank="1" showInputMessage="1" showErrorMessage="1" xr:uid="{20DF065C-5B0E-CB49-B33D-FD2442C163B0}">
          <x14:formula1>
            <xm:f>Lists!$DG$18:$DG$22</xm:f>
          </x14:formula1>
          <xm:sqref>P5:P14 J5:J14</xm:sqref>
        </x14:dataValidation>
        <x14:dataValidation type="list" allowBlank="1" showInputMessage="1" showErrorMessage="1" xr:uid="{748764F8-2625-6B4B-9327-C818B171EB42}">
          <x14:formula1>
            <xm:f>Lists!$DG$31:$DG$33</xm:f>
          </x14:formula1>
          <xm:sqref>L5:L14</xm:sqref>
        </x14:dataValidation>
        <x14:dataValidation type="list" allowBlank="1" showInputMessage="1" showErrorMessage="1" xr:uid="{4610FC5F-F704-B34A-8F7A-8DEA80E9F120}">
          <x14:formula1>
            <xm:f>Lists!$DG$3:$DG$5</xm:f>
          </x14:formula1>
          <xm:sqref>C5:C14</xm:sqref>
        </x14:dataValidation>
        <x14:dataValidation type="list" allowBlank="1" showInputMessage="1" showErrorMessage="1" xr:uid="{4A14E447-F92D-C144-9E1C-F9EB27007AA6}">
          <x14:formula1>
            <xm:f>Lists!$DG$8:$DG$9</xm:f>
          </x14:formula1>
          <xm:sqref>D5:D14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380D8-E4C7-6C47-96C8-11D3E2DD0254}">
  <sheetPr>
    <tabColor theme="9" tint="-0.499984740745262"/>
  </sheetPr>
  <dimension ref="A1:K42"/>
  <sheetViews>
    <sheetView workbookViewId="0"/>
  </sheetViews>
  <sheetFormatPr baseColWidth="10" defaultColWidth="37.33203125" defaultRowHeight="15" x14ac:dyDescent="0.2"/>
  <cols>
    <col min="1" max="1" width="31" style="119" bestFit="1" customWidth="1"/>
    <col min="2" max="2" width="123.6640625" style="119" customWidth="1"/>
    <col min="3" max="3" width="20.83203125" style="119" customWidth="1"/>
    <col min="4" max="4" width="43.33203125" style="121" bestFit="1" customWidth="1"/>
    <col min="5" max="5" width="15.6640625" style="121" bestFit="1" customWidth="1"/>
    <col min="6" max="16384" width="37.33203125" style="119"/>
  </cols>
  <sheetData>
    <row r="1" spans="1:6" ht="17" x14ac:dyDescent="0.25">
      <c r="A1" s="558" t="s">
        <v>426</v>
      </c>
      <c r="B1" s="558"/>
      <c r="C1" s="558"/>
      <c r="D1" s="558"/>
      <c r="E1" s="558"/>
    </row>
    <row r="2" spans="1:6" x14ac:dyDescent="0.2">
      <c r="A2" s="557" t="s">
        <v>2289</v>
      </c>
      <c r="B2" s="557"/>
      <c r="C2" s="557"/>
      <c r="D2" s="557"/>
      <c r="E2" s="557"/>
    </row>
    <row r="3" spans="1:6" s="121" customFormat="1" ht="16" x14ac:dyDescent="0.2">
      <c r="A3" s="169" t="s">
        <v>420</v>
      </c>
      <c r="B3" s="169" t="s">
        <v>421</v>
      </c>
      <c r="C3" s="169" t="s">
        <v>128</v>
      </c>
      <c r="D3" s="169" t="s">
        <v>2130</v>
      </c>
      <c r="E3" s="201" t="s">
        <v>595</v>
      </c>
    </row>
    <row r="4" spans="1:6" ht="16" x14ac:dyDescent="0.2">
      <c r="A4" s="135" t="s">
        <v>1369</v>
      </c>
      <c r="B4" s="135" t="s">
        <v>1370</v>
      </c>
      <c r="C4" s="182" t="s">
        <v>182</v>
      </c>
      <c r="D4" s="182" t="s">
        <v>2131</v>
      </c>
      <c r="E4" s="197">
        <v>50040</v>
      </c>
    </row>
    <row r="5" spans="1:6" ht="16" x14ac:dyDescent="0.2">
      <c r="A5" s="135" t="s">
        <v>1371</v>
      </c>
      <c r="B5" s="135" t="s">
        <v>1372</v>
      </c>
      <c r="C5" s="182" t="s">
        <v>182</v>
      </c>
      <c r="D5" s="182" t="s">
        <v>2132</v>
      </c>
      <c r="E5" s="197">
        <v>50040</v>
      </c>
    </row>
    <row r="6" spans="1:6" ht="16" x14ac:dyDescent="0.2">
      <c r="A6" s="135" t="s">
        <v>1373</v>
      </c>
      <c r="B6" s="135" t="s">
        <v>1374</v>
      </c>
      <c r="C6" s="182" t="s">
        <v>182</v>
      </c>
      <c r="D6" s="182" t="s">
        <v>2133</v>
      </c>
      <c r="E6" s="197">
        <v>49309</v>
      </c>
    </row>
    <row r="7" spans="1:6" ht="16" customHeight="1" x14ac:dyDescent="0.2">
      <c r="A7" s="147" t="s">
        <v>1395</v>
      </c>
      <c r="B7" s="147" t="s">
        <v>1396</v>
      </c>
      <c r="C7" s="182" t="s">
        <v>182</v>
      </c>
      <c r="D7" s="182" t="s">
        <v>2134</v>
      </c>
      <c r="E7" s="197">
        <v>48579</v>
      </c>
    </row>
    <row r="8" spans="1:6" ht="16" x14ac:dyDescent="0.2">
      <c r="A8" s="135" t="s">
        <v>1375</v>
      </c>
      <c r="B8" s="135" t="s">
        <v>1376</v>
      </c>
      <c r="C8" s="182" t="s">
        <v>182</v>
      </c>
      <c r="D8" s="182" t="s">
        <v>2135</v>
      </c>
      <c r="E8" s="197">
        <v>50040</v>
      </c>
    </row>
    <row r="9" spans="1:6" ht="16" x14ac:dyDescent="0.2">
      <c r="A9" s="147" t="s">
        <v>1429</v>
      </c>
      <c r="B9" s="147" t="s">
        <v>1473</v>
      </c>
      <c r="C9" s="142" t="s">
        <v>1426</v>
      </c>
      <c r="D9" s="182" t="s">
        <v>2136</v>
      </c>
      <c r="E9" s="273">
        <v>48760</v>
      </c>
    </row>
    <row r="10" spans="1:6" ht="16" x14ac:dyDescent="0.2">
      <c r="A10" s="147" t="s">
        <v>1441</v>
      </c>
      <c r="B10" s="147" t="s">
        <v>1474</v>
      </c>
      <c r="C10" s="142" t="s">
        <v>183</v>
      </c>
      <c r="D10" s="182" t="s">
        <v>2137</v>
      </c>
      <c r="E10" s="273" t="s">
        <v>1436</v>
      </c>
    </row>
    <row r="11" spans="1:6" ht="16" x14ac:dyDescent="0.2">
      <c r="A11" s="147" t="s">
        <v>1425</v>
      </c>
      <c r="B11" s="147" t="s">
        <v>1475</v>
      </c>
      <c r="C11" s="142" t="s">
        <v>1426</v>
      </c>
      <c r="D11" s="182" t="s">
        <v>2138</v>
      </c>
      <c r="E11" s="197">
        <v>48944</v>
      </c>
    </row>
    <row r="12" spans="1:6" ht="16" x14ac:dyDescent="0.2">
      <c r="A12" s="147" t="s">
        <v>1435</v>
      </c>
      <c r="B12" s="147" t="s">
        <v>1482</v>
      </c>
      <c r="C12" s="142" t="s">
        <v>183</v>
      </c>
      <c r="D12" s="182" t="s">
        <v>2139</v>
      </c>
      <c r="E12" s="273" t="s">
        <v>1436</v>
      </c>
      <c r="F12" s="232"/>
    </row>
    <row r="13" spans="1:6" ht="16" x14ac:dyDescent="0.2">
      <c r="A13" s="176" t="s">
        <v>1437</v>
      </c>
      <c r="B13" s="176" t="s">
        <v>1483</v>
      </c>
      <c r="C13" s="142" t="s">
        <v>183</v>
      </c>
      <c r="D13" s="182" t="s">
        <v>2140</v>
      </c>
      <c r="E13" s="197" t="s">
        <v>1438</v>
      </c>
    </row>
    <row r="14" spans="1:6" ht="16" x14ac:dyDescent="0.2">
      <c r="A14" s="147" t="s">
        <v>1428</v>
      </c>
      <c r="B14" s="147" t="s">
        <v>1470</v>
      </c>
      <c r="C14" s="147" t="s">
        <v>1426</v>
      </c>
      <c r="D14" s="182" t="s">
        <v>2141</v>
      </c>
      <c r="E14" s="273">
        <v>48579</v>
      </c>
    </row>
    <row r="15" spans="1:6" ht="16" x14ac:dyDescent="0.2">
      <c r="A15" s="147" t="s">
        <v>1373</v>
      </c>
      <c r="B15" s="147" t="s">
        <v>1471</v>
      </c>
      <c r="C15" s="147" t="s">
        <v>1426</v>
      </c>
      <c r="D15" s="182" t="s">
        <v>2142</v>
      </c>
      <c r="E15" s="197">
        <v>48944</v>
      </c>
    </row>
    <row r="16" spans="1:6" ht="16" x14ac:dyDescent="0.2">
      <c r="A16" s="147" t="s">
        <v>1439</v>
      </c>
      <c r="B16" s="147" t="s">
        <v>1472</v>
      </c>
      <c r="C16" s="147" t="s">
        <v>183</v>
      </c>
      <c r="D16" s="182" t="s">
        <v>2143</v>
      </c>
      <c r="E16" s="273" t="s">
        <v>1440</v>
      </c>
    </row>
    <row r="17" spans="1:5" ht="16" x14ac:dyDescent="0.2">
      <c r="A17" s="147" t="s">
        <v>1433</v>
      </c>
      <c r="B17" s="147" t="s">
        <v>1479</v>
      </c>
      <c r="C17" s="147" t="s">
        <v>1426</v>
      </c>
      <c r="D17" s="182" t="s">
        <v>2144</v>
      </c>
      <c r="E17" s="273">
        <v>47118</v>
      </c>
    </row>
    <row r="18" spans="1:5" ht="16" x14ac:dyDescent="0.2">
      <c r="A18" s="147" t="s">
        <v>1445</v>
      </c>
      <c r="B18" s="147" t="s">
        <v>1480</v>
      </c>
      <c r="C18" s="147" t="s">
        <v>183</v>
      </c>
      <c r="D18" s="182" t="s">
        <v>2145</v>
      </c>
      <c r="E18" s="197" t="s">
        <v>1438</v>
      </c>
    </row>
    <row r="19" spans="1:5" ht="16" x14ac:dyDescent="0.2">
      <c r="A19" s="147" t="s">
        <v>1430</v>
      </c>
      <c r="B19" s="147" t="s">
        <v>1484</v>
      </c>
      <c r="C19" s="147" t="s">
        <v>1426</v>
      </c>
      <c r="D19" s="182" t="s">
        <v>2146</v>
      </c>
      <c r="E19" s="197">
        <v>47848</v>
      </c>
    </row>
    <row r="20" spans="1:5" ht="16" x14ac:dyDescent="0.2">
      <c r="A20" s="147" t="s">
        <v>1442</v>
      </c>
      <c r="B20" s="147" t="s">
        <v>1485</v>
      </c>
      <c r="C20" s="147" t="s">
        <v>183</v>
      </c>
      <c r="D20" s="182" t="s">
        <v>2147</v>
      </c>
      <c r="E20" s="273" t="s">
        <v>1436</v>
      </c>
    </row>
    <row r="21" spans="1:5" ht="16" x14ac:dyDescent="0.2">
      <c r="A21" s="147" t="s">
        <v>1431</v>
      </c>
      <c r="B21" s="147" t="s">
        <v>1481</v>
      </c>
      <c r="C21" s="147" t="s">
        <v>1426</v>
      </c>
      <c r="D21" s="182" t="s">
        <v>2148</v>
      </c>
      <c r="E21" s="273">
        <v>47664</v>
      </c>
    </row>
    <row r="22" spans="1:5" ht="16" x14ac:dyDescent="0.2">
      <c r="A22" s="147" t="s">
        <v>1444</v>
      </c>
      <c r="B22" s="147" t="s">
        <v>1476</v>
      </c>
      <c r="C22" s="147" t="s">
        <v>183</v>
      </c>
      <c r="D22" s="182" t="s">
        <v>2149</v>
      </c>
      <c r="E22" s="197" t="s">
        <v>1436</v>
      </c>
    </row>
    <row r="23" spans="1:5" ht="16" x14ac:dyDescent="0.2">
      <c r="A23" s="147" t="s">
        <v>1434</v>
      </c>
      <c r="B23" s="147" t="s">
        <v>1477</v>
      </c>
      <c r="C23" s="147" t="s">
        <v>1426</v>
      </c>
      <c r="D23" s="182" t="s">
        <v>2150</v>
      </c>
      <c r="E23" s="273">
        <v>47118</v>
      </c>
    </row>
    <row r="24" spans="1:5" ht="16" x14ac:dyDescent="0.2">
      <c r="A24" s="147" t="s">
        <v>1446</v>
      </c>
      <c r="B24" s="176" t="s">
        <v>1478</v>
      </c>
      <c r="C24" s="147" t="s">
        <v>183</v>
      </c>
      <c r="D24" s="182" t="s">
        <v>2151</v>
      </c>
      <c r="E24" s="197" t="s">
        <v>1443</v>
      </c>
    </row>
    <row r="25" spans="1:5" ht="16" x14ac:dyDescent="0.2">
      <c r="A25" s="147" t="s">
        <v>1432</v>
      </c>
      <c r="B25" s="147" t="s">
        <v>1466</v>
      </c>
      <c r="C25" s="147" t="s">
        <v>1426</v>
      </c>
      <c r="D25" s="182" t="s">
        <v>2152</v>
      </c>
      <c r="E25" s="278">
        <v>48579</v>
      </c>
    </row>
    <row r="26" spans="1:5" ht="16" x14ac:dyDescent="0.2">
      <c r="A26" s="147" t="s">
        <v>1463</v>
      </c>
      <c r="B26" s="147" t="s">
        <v>1467</v>
      </c>
      <c r="C26" s="147" t="s">
        <v>1426</v>
      </c>
      <c r="D26" s="182" t="s">
        <v>2153</v>
      </c>
      <c r="E26" s="197">
        <v>47848</v>
      </c>
    </row>
    <row r="27" spans="1:5" ht="16" x14ac:dyDescent="0.2">
      <c r="A27" s="147" t="s">
        <v>1367</v>
      </c>
      <c r="B27" s="176" t="s">
        <v>1468</v>
      </c>
      <c r="C27" s="147" t="s">
        <v>183</v>
      </c>
      <c r="D27" s="182" t="s">
        <v>2154</v>
      </c>
      <c r="E27" s="197" t="s">
        <v>1443</v>
      </c>
    </row>
    <row r="28" spans="1:5" ht="16" x14ac:dyDescent="0.2">
      <c r="A28" s="147" t="s">
        <v>1447</v>
      </c>
      <c r="B28" s="176" t="s">
        <v>1469</v>
      </c>
      <c r="C28" s="147" t="s">
        <v>183</v>
      </c>
      <c r="D28" s="182" t="s">
        <v>2155</v>
      </c>
      <c r="E28" s="197" t="s">
        <v>1436</v>
      </c>
    </row>
    <row r="29" spans="1:5" ht="16" x14ac:dyDescent="0.2">
      <c r="A29" s="147" t="s">
        <v>1620</v>
      </c>
      <c r="B29" s="147" t="s">
        <v>1621</v>
      </c>
      <c r="C29" s="147" t="s">
        <v>1426</v>
      </c>
      <c r="D29" s="182" t="s">
        <v>2156</v>
      </c>
      <c r="E29" s="197">
        <v>47848</v>
      </c>
    </row>
    <row r="30" spans="1:5" ht="16" x14ac:dyDescent="0.2">
      <c r="A30" s="142" t="s">
        <v>1720</v>
      </c>
      <c r="B30" s="135" t="s">
        <v>1739</v>
      </c>
      <c r="C30" s="182" t="s">
        <v>184</v>
      </c>
      <c r="D30" s="182" t="s">
        <v>2157</v>
      </c>
      <c r="E30" s="197" t="s">
        <v>1705</v>
      </c>
    </row>
    <row r="31" spans="1:5" ht="16" x14ac:dyDescent="0.2">
      <c r="A31" s="142" t="s">
        <v>1721</v>
      </c>
      <c r="B31" s="135" t="s">
        <v>1740</v>
      </c>
      <c r="C31" s="182" t="s">
        <v>184</v>
      </c>
      <c r="D31" s="182" t="s">
        <v>2158</v>
      </c>
      <c r="E31" s="197" t="s">
        <v>1705</v>
      </c>
    </row>
    <row r="32" spans="1:5" ht="16" x14ac:dyDescent="0.2">
      <c r="A32" s="142" t="s">
        <v>1722</v>
      </c>
      <c r="B32" s="135" t="s">
        <v>1743</v>
      </c>
      <c r="C32" s="182" t="s">
        <v>184</v>
      </c>
      <c r="D32" s="182" t="s">
        <v>2159</v>
      </c>
      <c r="E32" s="197" t="s">
        <v>1705</v>
      </c>
    </row>
    <row r="33" spans="1:11" ht="16" x14ac:dyDescent="0.2">
      <c r="A33" s="142" t="s">
        <v>1723</v>
      </c>
      <c r="B33" s="135" t="s">
        <v>1742</v>
      </c>
      <c r="C33" s="182" t="s">
        <v>184</v>
      </c>
      <c r="D33" s="182" t="s">
        <v>2160</v>
      </c>
      <c r="E33" s="197" t="s">
        <v>1705</v>
      </c>
    </row>
    <row r="34" spans="1:11" ht="16" x14ac:dyDescent="0.2">
      <c r="A34" s="142" t="s">
        <v>1724</v>
      </c>
      <c r="B34" s="135" t="s">
        <v>1744</v>
      </c>
      <c r="C34" s="182" t="s">
        <v>184</v>
      </c>
      <c r="D34" s="182" t="s">
        <v>2161</v>
      </c>
      <c r="E34" s="197" t="s">
        <v>1705</v>
      </c>
    </row>
    <row r="35" spans="1:11" ht="16" x14ac:dyDescent="0.2">
      <c r="A35" s="142" t="s">
        <v>1725</v>
      </c>
      <c r="B35" s="135" t="s">
        <v>1741</v>
      </c>
      <c r="C35" s="182" t="s">
        <v>184</v>
      </c>
      <c r="D35" s="182" t="s">
        <v>2162</v>
      </c>
      <c r="E35" s="197" t="s">
        <v>1705</v>
      </c>
    </row>
    <row r="36" spans="1:11" ht="16" x14ac:dyDescent="0.2">
      <c r="A36" s="142" t="s">
        <v>1726</v>
      </c>
      <c r="B36" s="135" t="s">
        <v>1745</v>
      </c>
      <c r="C36" s="182" t="s">
        <v>184</v>
      </c>
      <c r="D36" s="182" t="s">
        <v>2163</v>
      </c>
      <c r="E36" s="197" t="s">
        <v>1705</v>
      </c>
    </row>
    <row r="37" spans="1:11" ht="16" x14ac:dyDescent="0.2">
      <c r="A37" s="142" t="s">
        <v>1727</v>
      </c>
      <c r="B37" s="135" t="s">
        <v>1751</v>
      </c>
      <c r="C37" s="182" t="s">
        <v>184</v>
      </c>
      <c r="D37" s="182" t="s">
        <v>2164</v>
      </c>
      <c r="E37" s="197" t="s">
        <v>1705</v>
      </c>
    </row>
    <row r="38" spans="1:11" ht="16" x14ac:dyDescent="0.2">
      <c r="A38" s="142" t="s">
        <v>1728</v>
      </c>
      <c r="B38" s="135" t="s">
        <v>1746</v>
      </c>
      <c r="C38" s="182" t="s">
        <v>184</v>
      </c>
      <c r="D38" s="182" t="s">
        <v>2165</v>
      </c>
      <c r="E38" s="197" t="s">
        <v>1705</v>
      </c>
    </row>
    <row r="39" spans="1:11" ht="16" x14ac:dyDescent="0.2">
      <c r="A39" s="142" t="s">
        <v>1729</v>
      </c>
      <c r="B39" s="135" t="s">
        <v>1747</v>
      </c>
      <c r="C39" s="182" t="s">
        <v>184</v>
      </c>
      <c r="D39" s="182" t="s">
        <v>2166</v>
      </c>
      <c r="E39" s="197" t="s">
        <v>1705</v>
      </c>
    </row>
    <row r="40" spans="1:11" ht="16" x14ac:dyDescent="0.2">
      <c r="A40" s="142" t="s">
        <v>1730</v>
      </c>
      <c r="B40" s="135" t="s">
        <v>1748</v>
      </c>
      <c r="C40" s="182" t="s">
        <v>184</v>
      </c>
      <c r="D40" s="182" t="s">
        <v>2167</v>
      </c>
      <c r="E40" s="197" t="s">
        <v>1705</v>
      </c>
    </row>
    <row r="41" spans="1:11" ht="16" x14ac:dyDescent="0.2">
      <c r="A41" s="142" t="s">
        <v>1731</v>
      </c>
      <c r="B41" s="135" t="s">
        <v>1749</v>
      </c>
      <c r="C41" s="182" t="s">
        <v>184</v>
      </c>
      <c r="D41" s="182" t="s">
        <v>2168</v>
      </c>
      <c r="E41" s="197" t="s">
        <v>1705</v>
      </c>
    </row>
    <row r="42" spans="1:11" ht="16" x14ac:dyDescent="0.2">
      <c r="A42" s="142" t="s">
        <v>1732</v>
      </c>
      <c r="B42" s="135" t="s">
        <v>1750</v>
      </c>
      <c r="C42" s="182" t="s">
        <v>184</v>
      </c>
      <c r="D42" s="182" t="s">
        <v>2169</v>
      </c>
      <c r="E42" s="197" t="s">
        <v>1705</v>
      </c>
      <c r="K42" s="122"/>
    </row>
  </sheetData>
  <mergeCells count="2">
    <mergeCell ref="A1:E1"/>
    <mergeCell ref="A2:E2"/>
  </mergeCells>
  <phoneticPr fontId="1" type="noConversion"/>
  <dataValidations count="1">
    <dataValidation type="list" allowBlank="1" showInputMessage="1" showErrorMessage="1" sqref="C9:C29" xr:uid="{4697EEF9-FBB7-634E-BEC7-9BB6EBDAA95C}">
      <formula1>"KR, KPI"</formula1>
    </dataValidation>
  </dataValidations>
  <pageMargins left="0.7" right="0.7" top="0.75" bottom="0.75" header="0.3" footer="0.3"/>
  <pageSetup orientation="portrait" horizontalDpi="0" verticalDpi="0"/>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A42D7E66-6284-CB4B-AEEE-4B28A8D7127C}">
          <x14:formula1>
            <xm:f>Lists!$DQ$3:$DQ$6</xm:f>
          </x14:formula1>
          <xm:sqref>C4:C8 C30:C42</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FC502-8F86-F34D-9BD2-68FFA4CA182B}">
  <sheetPr>
    <tabColor theme="9" tint="-0.499984740745262"/>
  </sheetPr>
  <dimension ref="A1:DR59"/>
  <sheetViews>
    <sheetView showGridLines="0" topLeftCell="DH1" workbookViewId="0">
      <selection activeCell="DH65" sqref="DH65"/>
    </sheetView>
  </sheetViews>
  <sheetFormatPr baseColWidth="10" defaultRowHeight="15" x14ac:dyDescent="0.2"/>
  <cols>
    <col min="1" max="1" width="4.1640625" style="23" customWidth="1"/>
    <col min="2" max="2" width="14.5" style="23" bestFit="1" customWidth="1"/>
    <col min="3" max="3" width="10.83203125" style="23"/>
    <col min="4" max="4" width="14.6640625" style="23" bestFit="1" customWidth="1"/>
    <col min="5" max="5" width="4.1640625" style="23" customWidth="1"/>
    <col min="6" max="6" width="10.83203125" style="23"/>
    <col min="7" max="7" width="4.1640625" style="23" customWidth="1"/>
    <col min="8" max="8" width="13.83203125" style="23" bestFit="1" customWidth="1"/>
    <col min="9" max="9" width="4.33203125" style="23" customWidth="1"/>
    <col min="10" max="10" width="25" style="23" bestFit="1" customWidth="1"/>
    <col min="11" max="11" width="4.6640625" style="23" bestFit="1" customWidth="1"/>
    <col min="12" max="12" width="4.1640625" style="23" customWidth="1"/>
    <col min="13" max="13" width="14.6640625" style="23" bestFit="1" customWidth="1"/>
    <col min="14" max="14" width="69.5" style="23" customWidth="1"/>
    <col min="15" max="15" width="4.1640625" style="23" customWidth="1"/>
    <col min="16" max="16" width="11" style="23" customWidth="1"/>
    <col min="17" max="17" width="107.1640625" style="23" customWidth="1"/>
    <col min="18" max="18" width="4.1640625" style="23" customWidth="1"/>
    <col min="19" max="19" width="13.6640625" style="23" bestFit="1" customWidth="1"/>
    <col min="20" max="20" width="4.1640625" style="23" customWidth="1"/>
    <col min="21" max="21" width="20" style="23" bestFit="1" customWidth="1"/>
    <col min="22" max="22" width="11" style="23" customWidth="1"/>
    <col min="23" max="23" width="80" style="23" customWidth="1"/>
    <col min="24" max="24" width="4.1640625" style="23" customWidth="1"/>
    <col min="25" max="25" width="11" style="23" customWidth="1"/>
    <col min="26" max="29" width="23.33203125" style="23" customWidth="1"/>
    <col min="30" max="30" width="4.1640625" style="23" customWidth="1"/>
    <col min="31" max="31" width="19.5" style="23" bestFit="1" customWidth="1"/>
    <col min="32" max="32" width="12.83203125" style="23" bestFit="1" customWidth="1"/>
    <col min="33" max="33" width="80" style="23" bestFit="1" customWidth="1"/>
    <col min="34" max="34" width="4.1640625" style="23" customWidth="1"/>
    <col min="35" max="35" width="17.33203125" style="23" bestFit="1" customWidth="1"/>
    <col min="36" max="36" width="15.6640625" style="23" bestFit="1" customWidth="1"/>
    <col min="37" max="37" width="4.1640625" style="23" customWidth="1"/>
    <col min="38" max="38" width="6.1640625" style="23" bestFit="1" customWidth="1"/>
    <col min="39" max="39" width="32.1640625" style="23" bestFit="1" customWidth="1"/>
    <col min="40" max="40" width="38.6640625" style="23" bestFit="1" customWidth="1"/>
    <col min="41" max="41" width="34" style="23" bestFit="1" customWidth="1"/>
    <col min="42" max="42" width="52.1640625" style="23" bestFit="1" customWidth="1"/>
    <col min="43" max="43" width="4" style="23" customWidth="1"/>
    <col min="44" max="44" width="14.33203125" style="23" bestFit="1" customWidth="1"/>
    <col min="45" max="45" width="196.33203125" style="23" bestFit="1" customWidth="1"/>
    <col min="46" max="46" width="4.33203125" style="23" customWidth="1"/>
    <col min="47" max="47" width="4.5" style="23" customWidth="1"/>
    <col min="48" max="48" width="11.83203125" style="23" bestFit="1" customWidth="1"/>
    <col min="49" max="49" width="140.6640625" style="23" bestFit="1" customWidth="1"/>
    <col min="50" max="50" width="4.1640625" style="23" customWidth="1"/>
    <col min="51" max="51" width="18" style="23" bestFit="1" customWidth="1"/>
    <col min="52" max="52" width="143.6640625" style="23" bestFit="1" customWidth="1"/>
    <col min="53" max="53" width="4.1640625" style="23" customWidth="1"/>
    <col min="54" max="54" width="4.6640625" style="23" bestFit="1" customWidth="1"/>
    <col min="55" max="55" width="23.33203125" style="23" bestFit="1" customWidth="1"/>
    <col min="56" max="56" width="12.83203125" style="23" bestFit="1" customWidth="1"/>
    <col min="57" max="57" width="4.1640625" style="23" customWidth="1"/>
    <col min="58" max="58" width="19.5" style="23" bestFit="1" customWidth="1"/>
    <col min="59" max="59" width="76.5" style="23" bestFit="1" customWidth="1"/>
    <col min="60" max="60" width="4.1640625" style="23" customWidth="1"/>
    <col min="61" max="61" width="19.5" style="23" bestFit="1" customWidth="1"/>
    <col min="62" max="62" width="144.83203125" style="23" customWidth="1"/>
    <col min="63" max="63" width="4.1640625" style="23" customWidth="1"/>
    <col min="64" max="64" width="37.5" style="23" customWidth="1"/>
    <col min="65" max="65" width="4.1640625" style="23" customWidth="1"/>
    <col min="66" max="66" width="17.33203125" style="23" customWidth="1"/>
    <col min="67" max="67" width="122.33203125" style="23" bestFit="1" customWidth="1"/>
    <col min="68" max="68" width="4.1640625" style="23" customWidth="1"/>
    <col min="69" max="69" width="23.5" style="23" customWidth="1"/>
    <col min="70" max="70" width="100.83203125" style="23" bestFit="1" customWidth="1"/>
    <col min="71" max="71" width="4.1640625" style="23" customWidth="1"/>
    <col min="72" max="72" width="34.6640625" style="23" customWidth="1"/>
    <col min="73" max="73" width="121.83203125" style="23" bestFit="1" customWidth="1"/>
    <col min="74" max="74" width="4.1640625" style="23" customWidth="1"/>
    <col min="75" max="75" width="10.1640625" style="23" bestFit="1" customWidth="1"/>
    <col min="76" max="76" width="94.33203125" style="23" bestFit="1" customWidth="1"/>
    <col min="77" max="77" width="4.1640625" style="23" customWidth="1"/>
    <col min="78" max="78" width="25.5" style="23" bestFit="1" customWidth="1"/>
    <col min="79" max="79" width="4.1640625" style="23" customWidth="1"/>
    <col min="80" max="80" width="11.5" style="23" bestFit="1" customWidth="1"/>
    <col min="81" max="81" width="80.83203125" style="23" bestFit="1" customWidth="1"/>
    <col min="82" max="82" width="4.1640625" style="23" customWidth="1"/>
    <col min="83" max="83" width="16.1640625" style="23" bestFit="1" customWidth="1"/>
    <col min="84" max="84" width="97.1640625" style="23" bestFit="1" customWidth="1"/>
    <col min="85" max="85" width="4.1640625" style="23" customWidth="1"/>
    <col min="86" max="86" width="11.5" style="23" bestFit="1" customWidth="1"/>
    <col min="87" max="87" width="59.1640625" style="23" customWidth="1"/>
    <col min="88" max="88" width="4.1640625" style="23" customWidth="1"/>
    <col min="89" max="89" width="11.6640625" style="23" bestFit="1" customWidth="1"/>
    <col min="90" max="90" width="119.1640625" style="23" bestFit="1" customWidth="1"/>
    <col min="91" max="91" width="4.1640625" style="23" customWidth="1"/>
    <col min="92" max="92" width="14.5" style="23" bestFit="1" customWidth="1"/>
    <col min="93" max="93" width="130.6640625" style="23" customWidth="1"/>
    <col min="94" max="94" width="4.1640625" style="23" customWidth="1"/>
    <col min="95" max="95" width="15.83203125" style="23" bestFit="1" customWidth="1"/>
    <col min="96" max="96" width="4.1640625" style="23" customWidth="1"/>
    <col min="97" max="97" width="4.5" style="6" bestFit="1" customWidth="1"/>
    <col min="98" max="98" width="16.83203125" style="6" customWidth="1"/>
    <col min="99" max="99" width="21.6640625" style="6" bestFit="1" customWidth="1"/>
    <col min="100" max="100" width="58" style="6" bestFit="1" customWidth="1"/>
    <col min="101" max="104" width="13.1640625" style="6" customWidth="1"/>
    <col min="105" max="105" width="4.1640625" style="23" customWidth="1"/>
    <col min="106" max="106" width="12.33203125" style="119" bestFit="1" customWidth="1"/>
    <col min="107" max="107" width="143.5" style="119" customWidth="1"/>
    <col min="108" max="108" width="4.1640625" style="23" customWidth="1"/>
    <col min="109" max="109" width="20.5" style="119" customWidth="1"/>
    <col min="110" max="110" width="4.1640625" style="23" customWidth="1"/>
    <col min="111" max="111" width="18" style="143" customWidth="1"/>
    <col min="112" max="112" width="166.1640625" style="143" customWidth="1"/>
    <col min="113" max="113" width="4.1640625" style="23" customWidth="1"/>
    <col min="114" max="114" width="14.5" style="143" customWidth="1"/>
    <col min="115" max="119" width="16.5" style="143" customWidth="1"/>
    <col min="120" max="120" width="4" style="23" customWidth="1"/>
    <col min="121" max="121" width="20.83203125" style="119" bestFit="1" customWidth="1"/>
    <col min="122" max="122" width="111.6640625" style="119" bestFit="1" customWidth="1"/>
    <col min="123" max="16384" width="10.83203125" style="23"/>
  </cols>
  <sheetData>
    <row r="1" spans="1:122" x14ac:dyDescent="0.2">
      <c r="B1" s="566" t="s">
        <v>2218</v>
      </c>
      <c r="C1" s="566"/>
      <c r="D1" s="566"/>
      <c r="F1" s="378" t="s">
        <v>2219</v>
      </c>
      <c r="G1" s="144"/>
      <c r="H1" s="367" t="s">
        <v>2221</v>
      </c>
      <c r="J1" s="565" t="s">
        <v>2231</v>
      </c>
      <c r="K1" s="565"/>
      <c r="M1" s="565" t="s">
        <v>482</v>
      </c>
      <c r="N1" s="565"/>
      <c r="P1" s="565" t="s">
        <v>482</v>
      </c>
      <c r="Q1" s="565"/>
      <c r="S1" s="393" t="s">
        <v>2231</v>
      </c>
      <c r="U1" s="566" t="s">
        <v>482</v>
      </c>
      <c r="V1" s="566"/>
      <c r="W1" s="566"/>
      <c r="Y1" s="566" t="s">
        <v>482</v>
      </c>
      <c r="Z1" s="566"/>
      <c r="AA1" s="566"/>
      <c r="AB1" s="566"/>
      <c r="AC1" s="566"/>
      <c r="AE1" s="565" t="s">
        <v>2234</v>
      </c>
      <c r="AF1" s="565"/>
      <c r="AG1" s="565"/>
      <c r="AI1" s="565" t="s">
        <v>2234</v>
      </c>
      <c r="AJ1" s="565"/>
      <c r="AL1" s="566" t="s">
        <v>2234</v>
      </c>
      <c r="AM1" s="566"/>
      <c r="AN1" s="566"/>
      <c r="AO1" s="566"/>
      <c r="AP1" s="566"/>
      <c r="AR1" s="565" t="s">
        <v>2241</v>
      </c>
      <c r="AS1" s="565"/>
      <c r="AT1" s="144"/>
      <c r="AU1" s="567" t="s">
        <v>2242</v>
      </c>
      <c r="AV1" s="567"/>
      <c r="AW1" s="567"/>
      <c r="AX1" s="144"/>
      <c r="AY1" s="567" t="s">
        <v>2269</v>
      </c>
      <c r="AZ1" s="567"/>
      <c r="BA1" s="144"/>
      <c r="BB1" s="567" t="s">
        <v>2242</v>
      </c>
      <c r="BC1" s="567"/>
      <c r="BD1" s="567"/>
      <c r="BF1" s="567" t="s">
        <v>138</v>
      </c>
      <c r="BG1" s="567"/>
      <c r="BI1" s="567" t="s">
        <v>138</v>
      </c>
      <c r="BJ1" s="567"/>
      <c r="BL1" s="394" t="s">
        <v>139</v>
      </c>
      <c r="BM1" s="144"/>
      <c r="BN1" s="567" t="s">
        <v>139</v>
      </c>
      <c r="BO1" s="567"/>
      <c r="BQ1" s="567" t="s">
        <v>139</v>
      </c>
      <c r="BR1" s="567"/>
      <c r="BT1" s="567" t="s">
        <v>139</v>
      </c>
      <c r="BU1" s="567"/>
      <c r="BW1" s="567" t="s">
        <v>139</v>
      </c>
      <c r="BX1" s="567"/>
      <c r="BZ1" s="379" t="s">
        <v>139</v>
      </c>
      <c r="CB1" s="567" t="s">
        <v>139</v>
      </c>
      <c r="CC1" s="567"/>
      <c r="CE1" s="567" t="s">
        <v>142</v>
      </c>
      <c r="CF1" s="567"/>
      <c r="CG1" s="144"/>
      <c r="CH1" s="567" t="s">
        <v>142</v>
      </c>
      <c r="CI1" s="567"/>
      <c r="CJ1" s="144"/>
      <c r="CK1" s="567" t="s">
        <v>142</v>
      </c>
      <c r="CL1" s="567"/>
      <c r="CM1" s="144"/>
      <c r="CN1" s="567" t="s">
        <v>142</v>
      </c>
      <c r="CO1" s="567"/>
      <c r="CQ1" s="393" t="s">
        <v>143</v>
      </c>
      <c r="CS1" s="565" t="s">
        <v>143</v>
      </c>
      <c r="CT1" s="565"/>
      <c r="CU1" s="565"/>
      <c r="CV1" s="565"/>
      <c r="CW1" s="565"/>
      <c r="CX1" s="565"/>
      <c r="CY1" s="565"/>
      <c r="CZ1" s="565"/>
      <c r="DB1" s="470" t="s">
        <v>144</v>
      </c>
      <c r="DC1" s="470"/>
      <c r="DE1" s="426" t="s">
        <v>1700</v>
      </c>
      <c r="DG1" s="557" t="s">
        <v>147</v>
      </c>
      <c r="DH1" s="557"/>
      <c r="DJ1" s="557" t="s">
        <v>147</v>
      </c>
      <c r="DK1" s="557"/>
      <c r="DL1" s="557"/>
      <c r="DM1" s="557"/>
      <c r="DN1" s="557"/>
      <c r="DO1" s="557"/>
      <c r="DQ1" s="557" t="s">
        <v>426</v>
      </c>
      <c r="DR1" s="557"/>
    </row>
    <row r="2" spans="1:122" ht="16" x14ac:dyDescent="0.2">
      <c r="A2" s="29"/>
      <c r="B2" s="71" t="s">
        <v>609</v>
      </c>
      <c r="C2" s="71" t="s">
        <v>440</v>
      </c>
      <c r="D2" s="72" t="s">
        <v>610</v>
      </c>
      <c r="F2" s="377" t="s">
        <v>176</v>
      </c>
      <c r="G2" s="144"/>
      <c r="H2" s="73" t="s">
        <v>170</v>
      </c>
      <c r="J2" s="70" t="s">
        <v>193</v>
      </c>
      <c r="K2" s="74" t="s">
        <v>40</v>
      </c>
      <c r="M2" s="70" t="s">
        <v>608</v>
      </c>
      <c r="N2" s="70" t="s">
        <v>172</v>
      </c>
      <c r="O2" s="21"/>
      <c r="P2" s="70" t="s">
        <v>451</v>
      </c>
      <c r="Q2" s="70" t="s">
        <v>172</v>
      </c>
      <c r="R2" s="21"/>
      <c r="S2" s="70" t="s">
        <v>207</v>
      </c>
      <c r="T2" s="21"/>
      <c r="U2" s="70" t="s">
        <v>211</v>
      </c>
      <c r="V2" s="70" t="s">
        <v>212</v>
      </c>
      <c r="W2" s="70" t="s">
        <v>172</v>
      </c>
      <c r="X2" s="21"/>
      <c r="Y2" s="70" t="s">
        <v>5</v>
      </c>
      <c r="Z2" s="70" t="s">
        <v>42</v>
      </c>
      <c r="AA2" s="70" t="s">
        <v>41</v>
      </c>
      <c r="AB2" s="70" t="s">
        <v>39</v>
      </c>
      <c r="AC2" s="70" t="s">
        <v>36</v>
      </c>
      <c r="AE2" s="237" t="s">
        <v>223</v>
      </c>
      <c r="AF2" s="237" t="s">
        <v>212</v>
      </c>
      <c r="AG2" s="237" t="s">
        <v>172</v>
      </c>
      <c r="AH2" s="20"/>
      <c r="AI2" s="391" t="s">
        <v>446</v>
      </c>
      <c r="AJ2" s="237" t="s">
        <v>447</v>
      </c>
      <c r="AK2" s="20"/>
      <c r="AL2" s="70" t="s">
        <v>454</v>
      </c>
      <c r="AM2" s="392" t="s">
        <v>455</v>
      </c>
      <c r="AN2" s="70" t="s">
        <v>220</v>
      </c>
      <c r="AO2" s="392" t="s">
        <v>206</v>
      </c>
      <c r="AP2" s="70" t="s">
        <v>221</v>
      </c>
      <c r="AR2" s="237" t="s">
        <v>240</v>
      </c>
      <c r="AS2" s="237" t="s">
        <v>241</v>
      </c>
      <c r="AT2" s="144"/>
      <c r="AU2" s="395" t="s">
        <v>40</v>
      </c>
      <c r="AV2" s="377" t="s">
        <v>170</v>
      </c>
      <c r="AW2" s="377" t="s">
        <v>172</v>
      </c>
      <c r="AX2" s="84"/>
      <c r="AY2" s="377" t="s">
        <v>283</v>
      </c>
      <c r="AZ2" s="236" t="s">
        <v>172</v>
      </c>
      <c r="BA2" s="144"/>
      <c r="BB2" s="377" t="s">
        <v>40</v>
      </c>
      <c r="BC2" s="377" t="s">
        <v>327</v>
      </c>
      <c r="BD2" s="377" t="s">
        <v>156</v>
      </c>
      <c r="BF2" s="377" t="s">
        <v>2243</v>
      </c>
      <c r="BG2" s="236" t="s">
        <v>172</v>
      </c>
      <c r="BI2" s="377" t="s">
        <v>2247</v>
      </c>
      <c r="BJ2" s="236" t="s">
        <v>172</v>
      </c>
      <c r="BL2" s="377" t="s">
        <v>173</v>
      </c>
      <c r="BM2" s="144"/>
      <c r="BN2" s="236" t="s">
        <v>280</v>
      </c>
      <c r="BO2" s="236" t="s">
        <v>172</v>
      </c>
      <c r="BQ2" s="400" t="s">
        <v>292</v>
      </c>
      <c r="BR2" s="236" t="s">
        <v>172</v>
      </c>
      <c r="BS2" s="51"/>
      <c r="BT2" s="236" t="s">
        <v>301</v>
      </c>
      <c r="BU2" s="236" t="s">
        <v>172</v>
      </c>
      <c r="BV2" s="51"/>
      <c r="BW2" s="400" t="s">
        <v>322</v>
      </c>
      <c r="BX2" s="236" t="s">
        <v>304</v>
      </c>
      <c r="BY2" s="51"/>
      <c r="BZ2" s="401" t="s">
        <v>1315</v>
      </c>
      <c r="CB2" s="400" t="s">
        <v>313</v>
      </c>
      <c r="CC2" s="236" t="s">
        <v>172</v>
      </c>
      <c r="CD2" s="21"/>
      <c r="CE2" s="377" t="s">
        <v>601</v>
      </c>
      <c r="CF2" s="236" t="s">
        <v>172</v>
      </c>
      <c r="CG2" s="144"/>
      <c r="CH2" s="377" t="s">
        <v>107</v>
      </c>
      <c r="CI2" s="236" t="s">
        <v>172</v>
      </c>
      <c r="CJ2" s="144"/>
      <c r="CK2" s="377" t="s">
        <v>2279</v>
      </c>
      <c r="CL2" s="236" t="s">
        <v>172</v>
      </c>
      <c r="CM2" s="180"/>
      <c r="CN2" s="377" t="s">
        <v>1402</v>
      </c>
      <c r="CO2" s="236" t="s">
        <v>172</v>
      </c>
      <c r="CQ2" s="417" t="s">
        <v>348</v>
      </c>
      <c r="CS2" s="415" t="s">
        <v>40</v>
      </c>
      <c r="CT2" s="415" t="s">
        <v>170</v>
      </c>
      <c r="CU2" s="415" t="s">
        <v>357</v>
      </c>
      <c r="CV2" s="416" t="s">
        <v>62</v>
      </c>
      <c r="CW2" s="236" t="s">
        <v>1544</v>
      </c>
      <c r="CX2" s="236" t="s">
        <v>1551</v>
      </c>
      <c r="CY2" s="236" t="s">
        <v>1545</v>
      </c>
      <c r="CZ2" s="236" t="s">
        <v>1546</v>
      </c>
      <c r="DB2" s="425" t="s">
        <v>362</v>
      </c>
      <c r="DC2" s="425" t="s">
        <v>172</v>
      </c>
      <c r="DE2" s="425" t="s">
        <v>379</v>
      </c>
      <c r="DG2" s="425" t="s">
        <v>159</v>
      </c>
      <c r="DH2" s="425" t="s">
        <v>172</v>
      </c>
      <c r="DJ2" s="433" t="s">
        <v>2007</v>
      </c>
      <c r="DK2" s="440" t="s">
        <v>400</v>
      </c>
      <c r="DL2" s="440" t="s">
        <v>401</v>
      </c>
      <c r="DM2" s="440" t="s">
        <v>596</v>
      </c>
      <c r="DN2" s="440" t="s">
        <v>402</v>
      </c>
      <c r="DO2" s="441" t="s">
        <v>2006</v>
      </c>
      <c r="DQ2" s="446" t="s">
        <v>341</v>
      </c>
      <c r="DR2" s="425" t="s">
        <v>172</v>
      </c>
    </row>
    <row r="3" spans="1:122" ht="16" x14ac:dyDescent="0.2">
      <c r="A3" s="21"/>
      <c r="B3" s="68" t="s">
        <v>594</v>
      </c>
      <c r="C3" s="68" t="s">
        <v>8</v>
      </c>
      <c r="D3" s="66" t="s">
        <v>6</v>
      </c>
      <c r="F3" s="180" t="s">
        <v>473</v>
      </c>
      <c r="G3" s="144"/>
      <c r="H3" s="13" t="s">
        <v>185</v>
      </c>
      <c r="J3" s="22" t="s">
        <v>27</v>
      </c>
      <c r="K3" s="75">
        <v>1</v>
      </c>
      <c r="M3" s="24" t="s">
        <v>42</v>
      </c>
      <c r="N3" s="24" t="s">
        <v>202</v>
      </c>
      <c r="O3" s="20"/>
      <c r="P3" s="31" t="s">
        <v>38</v>
      </c>
      <c r="Q3" s="31" t="s">
        <v>208</v>
      </c>
      <c r="R3" s="20"/>
      <c r="S3" s="31" t="s">
        <v>33</v>
      </c>
      <c r="T3" s="20"/>
      <c r="U3" s="31" t="s">
        <v>43</v>
      </c>
      <c r="V3" s="31" t="s">
        <v>192</v>
      </c>
      <c r="W3" s="31" t="s">
        <v>214</v>
      </c>
      <c r="X3" s="20"/>
      <c r="Y3" s="57" t="s">
        <v>0</v>
      </c>
      <c r="Z3" s="31" t="s">
        <v>45</v>
      </c>
      <c r="AA3" s="31" t="s">
        <v>46</v>
      </c>
      <c r="AB3" s="31" t="s">
        <v>44</v>
      </c>
      <c r="AC3" s="31" t="s">
        <v>43</v>
      </c>
      <c r="AE3" s="30" t="s">
        <v>36</v>
      </c>
      <c r="AF3" s="30" t="s">
        <v>192</v>
      </c>
      <c r="AG3" s="30" t="s">
        <v>224</v>
      </c>
      <c r="AH3" s="20"/>
      <c r="AI3" s="19">
        <v>16</v>
      </c>
      <c r="AJ3" s="24" t="s">
        <v>448</v>
      </c>
      <c r="AK3" s="20"/>
      <c r="AL3" s="60"/>
      <c r="AM3" s="56" t="s">
        <v>466</v>
      </c>
      <c r="AN3" s="56" t="s">
        <v>467</v>
      </c>
      <c r="AO3" s="56" t="s">
        <v>468</v>
      </c>
      <c r="AP3" s="56" t="s">
        <v>469</v>
      </c>
      <c r="AR3" s="30" t="s">
        <v>49</v>
      </c>
      <c r="AS3" s="30" t="s">
        <v>242</v>
      </c>
      <c r="AT3" s="144"/>
      <c r="AU3" s="180">
        <v>1</v>
      </c>
      <c r="AV3" s="180" t="s">
        <v>16</v>
      </c>
      <c r="AW3" s="180" t="s">
        <v>603</v>
      </c>
      <c r="AX3" s="84"/>
      <c r="AY3" s="180" t="s">
        <v>285</v>
      </c>
      <c r="AZ3" s="30"/>
      <c r="BA3" s="144"/>
      <c r="BB3" s="180">
        <v>1</v>
      </c>
      <c r="BC3" s="180" t="s">
        <v>2</v>
      </c>
      <c r="BD3" s="180" t="s">
        <v>38</v>
      </c>
      <c r="BF3" s="180" t="s">
        <v>258</v>
      </c>
      <c r="BG3" s="30" t="s">
        <v>2244</v>
      </c>
      <c r="BI3" s="180" t="s">
        <v>35</v>
      </c>
      <c r="BJ3" s="30" t="s">
        <v>2248</v>
      </c>
      <c r="BL3" s="110" t="s">
        <v>1305</v>
      </c>
      <c r="BM3" s="144"/>
      <c r="BN3" s="23" t="s">
        <v>605</v>
      </c>
      <c r="BQ3" s="24" t="s">
        <v>288</v>
      </c>
      <c r="BR3" s="23" t="s">
        <v>293</v>
      </c>
      <c r="BS3" s="21"/>
      <c r="BT3" s="30" t="s">
        <v>297</v>
      </c>
      <c r="BU3" s="30" t="s">
        <v>2264</v>
      </c>
      <c r="BV3" s="21"/>
      <c r="BW3" s="53" t="s">
        <v>308</v>
      </c>
      <c r="BX3" s="30" t="s">
        <v>305</v>
      </c>
      <c r="BY3" s="21"/>
      <c r="BZ3" s="30" t="s">
        <v>1617</v>
      </c>
      <c r="CB3" s="31" t="s">
        <v>311</v>
      </c>
      <c r="CC3" s="30" t="s">
        <v>314</v>
      </c>
      <c r="CD3" s="21"/>
      <c r="CE3" s="180" t="s">
        <v>342</v>
      </c>
      <c r="CF3" s="30" t="s">
        <v>2274</v>
      </c>
      <c r="CG3" s="144"/>
      <c r="CH3" s="180" t="s">
        <v>340</v>
      </c>
      <c r="CI3" s="30" t="s">
        <v>2277</v>
      </c>
      <c r="CJ3" s="144"/>
      <c r="CK3" s="180" t="s">
        <v>1426</v>
      </c>
      <c r="CL3" s="30" t="s">
        <v>2280</v>
      </c>
      <c r="CM3" s="180"/>
      <c r="CN3" s="180" t="s">
        <v>1403</v>
      </c>
      <c r="CO3" s="30" t="s">
        <v>2283</v>
      </c>
      <c r="CQ3" s="65" t="s">
        <v>349</v>
      </c>
      <c r="CS3" s="65">
        <v>1</v>
      </c>
      <c r="CT3" s="65" t="s">
        <v>359</v>
      </c>
      <c r="CU3" s="65" t="s">
        <v>1547</v>
      </c>
      <c r="CV3" s="65" t="s">
        <v>358</v>
      </c>
      <c r="CW3" s="422">
        <v>6</v>
      </c>
      <c r="CX3" s="422">
        <v>10</v>
      </c>
      <c r="CY3" s="422">
        <v>6</v>
      </c>
      <c r="CZ3" s="422">
        <v>10</v>
      </c>
      <c r="DB3" s="251" t="s">
        <v>67</v>
      </c>
      <c r="DC3" s="251" t="s">
        <v>371</v>
      </c>
      <c r="DE3" s="65" t="s">
        <v>380</v>
      </c>
      <c r="DG3" s="65" t="s">
        <v>154</v>
      </c>
      <c r="DH3" s="65" t="s">
        <v>413</v>
      </c>
      <c r="DJ3" s="442" t="s">
        <v>1998</v>
      </c>
      <c r="DK3" s="435" t="s">
        <v>389</v>
      </c>
      <c r="DL3" s="435" t="s">
        <v>389</v>
      </c>
      <c r="DM3" s="435" t="s">
        <v>389</v>
      </c>
      <c r="DN3" s="435" t="s">
        <v>389</v>
      </c>
      <c r="DO3" s="414" t="s">
        <v>389</v>
      </c>
      <c r="DQ3" s="181" t="s">
        <v>182</v>
      </c>
      <c r="DR3" s="181" t="s">
        <v>425</v>
      </c>
    </row>
    <row r="4" spans="1:122" ht="16" x14ac:dyDescent="0.2">
      <c r="A4" s="21"/>
      <c r="B4" s="68"/>
      <c r="C4" s="68" t="s">
        <v>9</v>
      </c>
      <c r="D4" s="66" t="s">
        <v>7</v>
      </c>
      <c r="F4" s="180" t="s">
        <v>175</v>
      </c>
      <c r="G4" s="144"/>
      <c r="H4" s="13" t="s">
        <v>186</v>
      </c>
      <c r="J4" s="21" t="s">
        <v>3</v>
      </c>
      <c r="K4" s="23">
        <v>2</v>
      </c>
      <c r="M4" s="24" t="s">
        <v>41</v>
      </c>
      <c r="N4" s="24" t="s">
        <v>203</v>
      </c>
      <c r="O4" s="20"/>
      <c r="P4" s="31" t="s">
        <v>37</v>
      </c>
      <c r="Q4" s="31" t="s">
        <v>209</v>
      </c>
      <c r="R4" s="20"/>
      <c r="S4" s="31" t="s">
        <v>34</v>
      </c>
      <c r="T4" s="20"/>
      <c r="U4" s="31" t="s">
        <v>44</v>
      </c>
      <c r="V4" s="31" t="s">
        <v>192</v>
      </c>
      <c r="W4" s="31" t="s">
        <v>216</v>
      </c>
      <c r="X4" s="20"/>
      <c r="Y4" s="57" t="s">
        <v>37</v>
      </c>
      <c r="Z4" s="31" t="s">
        <v>45</v>
      </c>
      <c r="AA4" s="31" t="s">
        <v>45</v>
      </c>
      <c r="AB4" s="31" t="s">
        <v>44</v>
      </c>
      <c r="AC4" s="31" t="s">
        <v>43</v>
      </c>
      <c r="AE4" s="30" t="s">
        <v>47</v>
      </c>
      <c r="AF4" s="30" t="s">
        <v>192</v>
      </c>
      <c r="AG4" s="30" t="s">
        <v>225</v>
      </c>
      <c r="AH4" s="20"/>
      <c r="AI4" s="19">
        <v>11</v>
      </c>
      <c r="AJ4" s="24" t="s">
        <v>449</v>
      </c>
      <c r="AK4" s="20"/>
      <c r="AL4" s="59">
        <v>5</v>
      </c>
      <c r="AM4" s="55" t="s">
        <v>456</v>
      </c>
      <c r="AN4" s="55" t="s">
        <v>461</v>
      </c>
      <c r="AO4" s="55" t="s">
        <v>0</v>
      </c>
      <c r="AP4" s="55" t="s">
        <v>36</v>
      </c>
      <c r="AR4" s="31" t="s">
        <v>239</v>
      </c>
      <c r="AS4" s="30" t="s">
        <v>243</v>
      </c>
      <c r="AT4" s="144"/>
      <c r="AU4" s="180">
        <v>2</v>
      </c>
      <c r="AV4" s="180" t="s">
        <v>14</v>
      </c>
      <c r="AW4" s="180" t="s">
        <v>330</v>
      </c>
      <c r="AX4" s="84"/>
      <c r="AY4" s="180" t="s">
        <v>284</v>
      </c>
      <c r="AZ4" s="30" t="s">
        <v>2263</v>
      </c>
      <c r="BA4" s="144"/>
      <c r="BB4" s="180">
        <v>2</v>
      </c>
      <c r="BC4" s="180" t="s">
        <v>189</v>
      </c>
      <c r="BD4" s="180" t="s">
        <v>189</v>
      </c>
      <c r="BF4" s="180" t="s">
        <v>259</v>
      </c>
      <c r="BG4" s="30" t="s">
        <v>2245</v>
      </c>
      <c r="BI4" s="180" t="s">
        <v>254</v>
      </c>
      <c r="BJ4" s="30" t="s">
        <v>2249</v>
      </c>
      <c r="BL4" s="110" t="s">
        <v>2261</v>
      </c>
      <c r="BM4" s="144"/>
      <c r="BN4" s="23" t="s">
        <v>604</v>
      </c>
      <c r="BQ4" s="24" t="s">
        <v>289</v>
      </c>
      <c r="BR4" s="23" t="s">
        <v>294</v>
      </c>
      <c r="BS4" s="21"/>
      <c r="BT4" s="30" t="s">
        <v>298</v>
      </c>
      <c r="BU4" s="30" t="s">
        <v>2265</v>
      </c>
      <c r="BV4" s="21"/>
      <c r="BW4" s="53" t="s">
        <v>309</v>
      </c>
      <c r="BX4" s="30" t="s">
        <v>306</v>
      </c>
      <c r="BY4" s="21"/>
      <c r="BZ4" s="30" t="s">
        <v>273</v>
      </c>
      <c r="CB4" s="31" t="s">
        <v>312</v>
      </c>
      <c r="CC4" s="30" t="s">
        <v>315</v>
      </c>
      <c r="CD4" s="21"/>
      <c r="CE4" s="180" t="s">
        <v>332</v>
      </c>
      <c r="CF4" s="30" t="s">
        <v>2276</v>
      </c>
      <c r="CG4" s="144"/>
      <c r="CH4" s="180" t="s">
        <v>343</v>
      </c>
      <c r="CI4" s="30" t="s">
        <v>2278</v>
      </c>
      <c r="CJ4" s="144"/>
      <c r="CK4" s="180" t="s">
        <v>183</v>
      </c>
      <c r="CL4" s="30" t="s">
        <v>2281</v>
      </c>
      <c r="CM4" s="180"/>
      <c r="CN4" s="180" t="s">
        <v>1706</v>
      </c>
      <c r="CO4" s="30" t="s">
        <v>2282</v>
      </c>
      <c r="CQ4" s="65" t="s">
        <v>350</v>
      </c>
      <c r="CS4" s="65">
        <v>2</v>
      </c>
      <c r="CT4" s="65" t="s">
        <v>360</v>
      </c>
      <c r="CU4" s="65" t="s">
        <v>1548</v>
      </c>
      <c r="CV4" s="65" t="s">
        <v>353</v>
      </c>
      <c r="CW4" s="422">
        <v>1</v>
      </c>
      <c r="CX4" s="422">
        <v>5</v>
      </c>
      <c r="CY4" s="422">
        <v>6</v>
      </c>
      <c r="CZ4" s="422">
        <v>10</v>
      </c>
      <c r="DB4" s="251" t="s">
        <v>363</v>
      </c>
      <c r="DC4" s="251" t="s">
        <v>372</v>
      </c>
      <c r="DE4" s="65" t="s">
        <v>382</v>
      </c>
      <c r="DG4" s="65" t="s">
        <v>411</v>
      </c>
      <c r="DH4" s="65" t="s">
        <v>414</v>
      </c>
      <c r="DJ4" s="442" t="s">
        <v>37</v>
      </c>
      <c r="DK4" s="435" t="s">
        <v>389</v>
      </c>
      <c r="DL4" s="435" t="s">
        <v>389</v>
      </c>
      <c r="DM4" s="436" t="s">
        <v>390</v>
      </c>
      <c r="DN4" s="436" t="s">
        <v>390</v>
      </c>
      <c r="DO4" s="435" t="s">
        <v>391</v>
      </c>
      <c r="DQ4" s="181" t="s">
        <v>1426</v>
      </c>
      <c r="DR4" s="181" t="s">
        <v>423</v>
      </c>
    </row>
    <row r="5" spans="1:122" ht="17" customHeight="1" x14ac:dyDescent="0.2">
      <c r="A5" s="21"/>
      <c r="B5" s="69"/>
      <c r="C5" s="69" t="s">
        <v>439</v>
      </c>
      <c r="D5" s="67"/>
      <c r="F5" s="180" t="s">
        <v>474</v>
      </c>
      <c r="G5" s="144"/>
      <c r="H5" s="6" t="s">
        <v>187</v>
      </c>
      <c r="J5" s="21" t="s">
        <v>28</v>
      </c>
      <c r="K5" s="23">
        <v>3</v>
      </c>
      <c r="M5" s="24" t="s">
        <v>39</v>
      </c>
      <c r="N5" s="24" t="s">
        <v>204</v>
      </c>
      <c r="O5" s="20"/>
      <c r="P5" s="31" t="s">
        <v>0</v>
      </c>
      <c r="Q5" s="31" t="s">
        <v>210</v>
      </c>
      <c r="R5" s="20"/>
      <c r="S5" s="31" t="s">
        <v>35</v>
      </c>
      <c r="T5" s="20"/>
      <c r="U5" s="31" t="s">
        <v>46</v>
      </c>
      <c r="V5" s="31" t="s">
        <v>213</v>
      </c>
      <c r="W5" s="31" t="s">
        <v>217</v>
      </c>
      <c r="X5" s="20"/>
      <c r="Y5" s="58" t="s">
        <v>38</v>
      </c>
      <c r="Z5" s="31" t="s">
        <v>45</v>
      </c>
      <c r="AA5" s="31" t="s">
        <v>45</v>
      </c>
      <c r="AB5" s="31" t="s">
        <v>45</v>
      </c>
      <c r="AC5" s="31" t="s">
        <v>43</v>
      </c>
      <c r="AE5" s="30" t="s">
        <v>470</v>
      </c>
      <c r="AF5" s="30" t="s">
        <v>213</v>
      </c>
      <c r="AG5" s="30" t="s">
        <v>471</v>
      </c>
      <c r="AH5" s="20"/>
      <c r="AI5" s="19">
        <v>0</v>
      </c>
      <c r="AJ5" s="24" t="s">
        <v>450</v>
      </c>
      <c r="AK5" s="20"/>
      <c r="AL5" s="59">
        <v>4</v>
      </c>
      <c r="AM5" s="55" t="s">
        <v>457</v>
      </c>
      <c r="AN5" s="55" t="s">
        <v>462</v>
      </c>
      <c r="AO5" s="55" t="s">
        <v>253</v>
      </c>
      <c r="AP5" s="55" t="s">
        <v>39</v>
      </c>
      <c r="AR5" s="31" t="s">
        <v>41</v>
      </c>
      <c r="AS5" s="30" t="s">
        <v>244</v>
      </c>
      <c r="AT5" s="144"/>
      <c r="AU5" s="180">
        <v>3</v>
      </c>
      <c r="AV5" s="180" t="s">
        <v>323</v>
      </c>
      <c r="AW5" s="180" t="s">
        <v>325</v>
      </c>
      <c r="AX5" s="84"/>
      <c r="AY5" s="30" t="s">
        <v>593</v>
      </c>
      <c r="AZ5" s="30" t="s">
        <v>2262</v>
      </c>
      <c r="BA5" s="144"/>
      <c r="BB5" s="180">
        <v>3</v>
      </c>
      <c r="BC5" s="180" t="s">
        <v>1</v>
      </c>
      <c r="BD5" s="180" t="s">
        <v>253</v>
      </c>
      <c r="BF5" s="180" t="s">
        <v>260</v>
      </c>
      <c r="BG5" s="30" t="s">
        <v>2246</v>
      </c>
      <c r="BI5" s="30" t="s">
        <v>255</v>
      </c>
      <c r="BJ5" s="30" t="s">
        <v>2250</v>
      </c>
      <c r="BL5" s="180"/>
      <c r="BM5" s="144"/>
      <c r="BN5" s="23" t="s">
        <v>276</v>
      </c>
      <c r="BQ5" s="24" t="s">
        <v>290</v>
      </c>
      <c r="BR5" s="23" t="s">
        <v>295</v>
      </c>
      <c r="BS5" s="21"/>
      <c r="BT5" s="30" t="s">
        <v>299</v>
      </c>
      <c r="BU5" s="30" t="s">
        <v>2266</v>
      </c>
      <c r="BV5" s="21"/>
      <c r="BW5" s="53" t="s">
        <v>310</v>
      </c>
      <c r="BX5" s="30" t="s">
        <v>307</v>
      </c>
      <c r="BY5" s="21"/>
      <c r="BZ5" s="30" t="s">
        <v>274</v>
      </c>
      <c r="CB5" s="31" t="s">
        <v>131</v>
      </c>
      <c r="CC5" s="30"/>
      <c r="CD5" s="21"/>
      <c r="CE5" s="180" t="s">
        <v>333</v>
      </c>
      <c r="CF5" s="30" t="s">
        <v>2275</v>
      </c>
      <c r="CG5" s="144"/>
      <c r="CH5" s="180"/>
      <c r="CI5" s="180"/>
      <c r="CJ5" s="144"/>
      <c r="CK5" s="180"/>
      <c r="CL5" s="180"/>
      <c r="CM5" s="180"/>
      <c r="CN5" s="180"/>
      <c r="CO5" s="180"/>
      <c r="CS5" s="65">
        <v>3</v>
      </c>
      <c r="CT5" s="65" t="s">
        <v>361</v>
      </c>
      <c r="CU5" s="65" t="s">
        <v>1549</v>
      </c>
      <c r="CV5" s="65" t="s">
        <v>354</v>
      </c>
      <c r="CW5" s="422">
        <v>6</v>
      </c>
      <c r="CX5" s="422">
        <v>10</v>
      </c>
      <c r="CY5" s="422">
        <v>1</v>
      </c>
      <c r="CZ5" s="422">
        <v>5</v>
      </c>
      <c r="DB5" s="251" t="s">
        <v>364</v>
      </c>
      <c r="DC5" s="251" t="s">
        <v>373</v>
      </c>
      <c r="DE5" s="65" t="s">
        <v>381</v>
      </c>
      <c r="DG5" s="65" t="s">
        <v>412</v>
      </c>
      <c r="DH5" s="65" t="s">
        <v>415</v>
      </c>
      <c r="DJ5" s="442" t="s">
        <v>398</v>
      </c>
      <c r="DK5" s="435" t="s">
        <v>389</v>
      </c>
      <c r="DL5" s="436" t="s">
        <v>390</v>
      </c>
      <c r="DM5" s="435" t="s">
        <v>391</v>
      </c>
      <c r="DN5" s="435" t="s">
        <v>391</v>
      </c>
      <c r="DO5" s="436" t="s">
        <v>2008</v>
      </c>
      <c r="DQ5" s="181" t="s">
        <v>183</v>
      </c>
      <c r="DR5" s="181" t="s">
        <v>422</v>
      </c>
    </row>
    <row r="6" spans="1:122" x14ac:dyDescent="0.2">
      <c r="A6" s="21"/>
      <c r="G6" s="144"/>
      <c r="H6" s="6" t="s">
        <v>175</v>
      </c>
      <c r="J6" s="21" t="s">
        <v>29</v>
      </c>
      <c r="K6" s="23">
        <v>4</v>
      </c>
      <c r="M6" s="24" t="s">
        <v>36</v>
      </c>
      <c r="N6" s="24" t="s">
        <v>205</v>
      </c>
      <c r="O6" s="20"/>
      <c r="P6" s="20"/>
      <c r="Q6" s="20"/>
      <c r="R6" s="20"/>
      <c r="S6" s="20"/>
      <c r="T6" s="20"/>
      <c r="U6" s="31" t="s">
        <v>45</v>
      </c>
      <c r="V6" s="31" t="s">
        <v>213</v>
      </c>
      <c r="W6" s="31" t="s">
        <v>215</v>
      </c>
      <c r="X6" s="20"/>
      <c r="Y6" s="20"/>
      <c r="Z6" s="20"/>
      <c r="AA6" s="20"/>
      <c r="AB6" s="20"/>
      <c r="AC6" s="20"/>
      <c r="AE6" s="20"/>
      <c r="AF6" s="20"/>
      <c r="AG6" s="20"/>
      <c r="AH6" s="20"/>
      <c r="AI6" s="20"/>
      <c r="AJ6" s="20"/>
      <c r="AK6" s="20"/>
      <c r="AL6" s="59">
        <v>3</v>
      </c>
      <c r="AM6" s="55" t="s">
        <v>458</v>
      </c>
      <c r="AN6" s="55" t="s">
        <v>463</v>
      </c>
      <c r="AO6" s="55" t="s">
        <v>37</v>
      </c>
      <c r="AP6" s="55" t="s">
        <v>41</v>
      </c>
      <c r="AT6" s="144"/>
      <c r="AU6" s="180">
        <v>4</v>
      </c>
      <c r="AV6" s="180" t="s">
        <v>15</v>
      </c>
      <c r="AW6" s="180" t="s">
        <v>324</v>
      </c>
      <c r="AX6" s="84"/>
      <c r="AY6" s="144"/>
      <c r="AZ6" s="144"/>
      <c r="BA6" s="144"/>
      <c r="BB6" s="84"/>
      <c r="BC6" s="84"/>
      <c r="BD6" s="84"/>
      <c r="BF6" s="144"/>
      <c r="BG6" s="144"/>
      <c r="BI6" s="180" t="s">
        <v>256</v>
      </c>
      <c r="BJ6" s="30" t="s">
        <v>2251</v>
      </c>
      <c r="BL6" s="144"/>
      <c r="BM6" s="144"/>
      <c r="BN6" s="23" t="s">
        <v>277</v>
      </c>
      <c r="BQ6" s="24" t="s">
        <v>291</v>
      </c>
      <c r="BR6" s="23" t="s">
        <v>296</v>
      </c>
      <c r="BS6" s="21"/>
      <c r="BT6" s="30" t="s">
        <v>1608</v>
      </c>
      <c r="BU6" s="30" t="s">
        <v>2267</v>
      </c>
      <c r="BV6" s="21"/>
      <c r="BW6" s="30" t="s">
        <v>594</v>
      </c>
      <c r="BX6" s="30"/>
      <c r="BY6" s="21"/>
      <c r="BZ6" s="30" t="s">
        <v>272</v>
      </c>
      <c r="CB6" s="31" t="s">
        <v>594</v>
      </c>
      <c r="CC6" s="30"/>
      <c r="CE6" s="144"/>
      <c r="CF6" s="144"/>
      <c r="CG6" s="144"/>
      <c r="CH6" s="144"/>
      <c r="CI6" s="144"/>
      <c r="CJ6" s="144"/>
      <c r="CK6" s="144"/>
      <c r="CL6" s="144"/>
      <c r="CM6" s="144"/>
      <c r="CN6" s="144"/>
      <c r="CO6" s="144"/>
      <c r="CS6" s="65">
        <v>4</v>
      </c>
      <c r="CT6" s="65" t="s">
        <v>356</v>
      </c>
      <c r="CU6" s="65" t="s">
        <v>1550</v>
      </c>
      <c r="CV6" s="65" t="s">
        <v>355</v>
      </c>
      <c r="CW6" s="422">
        <v>1</v>
      </c>
      <c r="CX6" s="422">
        <v>5</v>
      </c>
      <c r="CY6" s="422">
        <v>1</v>
      </c>
      <c r="CZ6" s="422">
        <v>5</v>
      </c>
      <c r="DB6" s="251" t="s">
        <v>365</v>
      </c>
      <c r="DC6" s="251" t="s">
        <v>374</v>
      </c>
      <c r="DJ6" s="443" t="s">
        <v>399</v>
      </c>
      <c r="DK6" s="436" t="s">
        <v>390</v>
      </c>
      <c r="DL6" s="436" t="s">
        <v>390</v>
      </c>
      <c r="DM6" s="435" t="s">
        <v>391</v>
      </c>
      <c r="DN6" s="436" t="s">
        <v>2008</v>
      </c>
      <c r="DO6" s="436" t="s">
        <v>2008</v>
      </c>
      <c r="DQ6" s="181" t="s">
        <v>184</v>
      </c>
      <c r="DR6" s="181" t="s">
        <v>424</v>
      </c>
    </row>
    <row r="7" spans="1:122" x14ac:dyDescent="0.2">
      <c r="A7" s="21"/>
      <c r="G7" s="144"/>
      <c r="H7" s="21" t="s">
        <v>621</v>
      </c>
      <c r="J7" s="21" t="s">
        <v>30</v>
      </c>
      <c r="K7" s="23">
        <v>5</v>
      </c>
      <c r="M7" s="20"/>
      <c r="N7" s="20"/>
      <c r="O7" s="20"/>
      <c r="P7" s="20"/>
      <c r="Q7" s="20"/>
      <c r="R7" s="20"/>
      <c r="S7" s="20"/>
      <c r="T7" s="20"/>
      <c r="U7" s="20"/>
      <c r="V7" s="20"/>
      <c r="W7" s="20"/>
      <c r="X7" s="20"/>
      <c r="Y7" s="20"/>
      <c r="Z7" s="20"/>
      <c r="AA7" s="20"/>
      <c r="AB7" s="20"/>
      <c r="AC7" s="20"/>
      <c r="AE7" s="20"/>
      <c r="AF7" s="20"/>
      <c r="AG7" s="20"/>
      <c r="AH7" s="20"/>
      <c r="AI7" s="20"/>
      <c r="AJ7" s="20"/>
      <c r="AK7" s="20"/>
      <c r="AL7" s="59">
        <v>2</v>
      </c>
      <c r="AM7" s="55" t="s">
        <v>459</v>
      </c>
      <c r="AN7" s="55" t="s">
        <v>464</v>
      </c>
      <c r="AO7" s="55" t="s">
        <v>38</v>
      </c>
      <c r="AP7" s="55" t="s">
        <v>42</v>
      </c>
      <c r="AT7" s="144"/>
      <c r="AU7" s="84"/>
      <c r="AV7" s="84"/>
      <c r="AW7" s="84"/>
      <c r="AX7" s="84"/>
      <c r="AY7" s="144"/>
      <c r="AZ7" s="144"/>
      <c r="BA7" s="144"/>
      <c r="BB7" s="84"/>
      <c r="BC7" s="84"/>
      <c r="BD7" s="84"/>
      <c r="BF7" s="144"/>
      <c r="BG7" s="144"/>
      <c r="BI7" s="144"/>
      <c r="BJ7" s="144"/>
      <c r="BL7" s="144"/>
      <c r="BM7" s="144"/>
      <c r="BN7" s="23" t="s">
        <v>278</v>
      </c>
      <c r="BO7" s="23" t="s">
        <v>2258</v>
      </c>
      <c r="BQ7" s="24" t="s">
        <v>594</v>
      </c>
      <c r="BS7" s="21"/>
      <c r="BT7" s="30" t="s">
        <v>300</v>
      </c>
      <c r="BU7" s="30" t="s">
        <v>2268</v>
      </c>
      <c r="BV7" s="21"/>
      <c r="BW7" s="21"/>
      <c r="BX7" s="21"/>
      <c r="BY7" s="21"/>
      <c r="BZ7" s="21"/>
      <c r="CE7" s="144"/>
      <c r="CF7" s="144"/>
      <c r="CG7" s="144"/>
      <c r="CH7" s="144"/>
      <c r="CI7" s="144"/>
      <c r="CJ7" s="144"/>
      <c r="CK7" s="144"/>
      <c r="CL7" s="144"/>
      <c r="CM7" s="144"/>
      <c r="CN7" s="144"/>
      <c r="CO7" s="144"/>
      <c r="DB7" s="251" t="s">
        <v>366</v>
      </c>
      <c r="DC7" s="251" t="s">
        <v>375</v>
      </c>
      <c r="DG7" s="425" t="s">
        <v>160</v>
      </c>
      <c r="DH7" s="425" t="s">
        <v>172</v>
      </c>
    </row>
    <row r="8" spans="1:122" x14ac:dyDescent="0.2">
      <c r="A8" s="21"/>
      <c r="G8" s="144"/>
      <c r="H8" s="21" t="s">
        <v>69</v>
      </c>
      <c r="J8" s="21" t="s">
        <v>31</v>
      </c>
      <c r="K8" s="23">
        <v>6</v>
      </c>
      <c r="M8" s="20"/>
      <c r="N8" s="20"/>
      <c r="O8" s="20"/>
      <c r="P8" s="20"/>
      <c r="Q8" s="20"/>
      <c r="R8" s="20"/>
      <c r="S8" s="20"/>
      <c r="T8" s="20"/>
      <c r="U8" s="20"/>
      <c r="V8" s="20"/>
      <c r="W8" s="20"/>
      <c r="X8" s="20"/>
      <c r="Y8" s="20"/>
      <c r="Z8" s="20"/>
      <c r="AA8" s="20"/>
      <c r="AB8" s="20"/>
      <c r="AC8" s="20"/>
      <c r="AE8" s="20"/>
      <c r="AF8" s="20"/>
      <c r="AG8" s="20"/>
      <c r="AH8" s="20"/>
      <c r="AI8" s="20"/>
      <c r="AJ8" s="20"/>
      <c r="AK8" s="20"/>
      <c r="AL8" s="59">
        <v>1</v>
      </c>
      <c r="AM8" s="55" t="s">
        <v>460</v>
      </c>
      <c r="AN8" s="55" t="s">
        <v>465</v>
      </c>
      <c r="AO8" s="55" t="s">
        <v>465</v>
      </c>
      <c r="AP8" s="55" t="s">
        <v>465</v>
      </c>
      <c r="AT8" s="144"/>
      <c r="AU8" s="84"/>
      <c r="AV8" s="84"/>
      <c r="AW8" s="84"/>
      <c r="AX8" s="84"/>
      <c r="AY8" s="144"/>
      <c r="AZ8" s="144"/>
      <c r="BA8" s="144"/>
      <c r="BB8" s="84"/>
      <c r="BC8" s="84"/>
      <c r="BD8" s="84"/>
      <c r="BF8" s="144"/>
      <c r="BG8" s="144"/>
      <c r="BI8" s="144"/>
      <c r="BJ8" s="144"/>
      <c r="BL8" s="144"/>
      <c r="BM8" s="144"/>
      <c r="BN8" s="23" t="s">
        <v>279</v>
      </c>
      <c r="BO8" s="23" t="s">
        <v>2259</v>
      </c>
      <c r="BQ8" s="21"/>
      <c r="BR8" s="21"/>
      <c r="BS8" s="21"/>
      <c r="BT8" s="30" t="s">
        <v>594</v>
      </c>
      <c r="BU8" s="30"/>
      <c r="BV8" s="21"/>
      <c r="BW8" s="21"/>
      <c r="BX8" s="21"/>
      <c r="BY8" s="21"/>
      <c r="BZ8" s="21"/>
      <c r="CE8" s="144"/>
      <c r="CF8" s="144"/>
      <c r="CG8" s="144"/>
      <c r="CH8" s="144"/>
      <c r="CI8" s="144"/>
      <c r="CJ8" s="144"/>
      <c r="CK8" s="144"/>
      <c r="CL8" s="144"/>
      <c r="CM8" s="144"/>
      <c r="CN8" s="144"/>
      <c r="CO8" s="144"/>
      <c r="CS8" s="119"/>
      <c r="CT8" s="119"/>
      <c r="CU8" s="119"/>
      <c r="CV8" s="119"/>
      <c r="CW8" s="119"/>
      <c r="CX8" s="119"/>
      <c r="DB8" s="251" t="s">
        <v>367</v>
      </c>
      <c r="DC8" s="251" t="s">
        <v>376</v>
      </c>
      <c r="DE8" s="423"/>
      <c r="DG8" s="65" t="s">
        <v>15</v>
      </c>
      <c r="DH8" s="65" t="s">
        <v>410</v>
      </c>
      <c r="DQ8" s="232"/>
      <c r="DR8" s="232"/>
    </row>
    <row r="9" spans="1:122" x14ac:dyDescent="0.2">
      <c r="A9" s="21"/>
      <c r="G9" s="144"/>
      <c r="H9" s="21"/>
      <c r="J9" s="21" t="s">
        <v>32</v>
      </c>
      <c r="K9" s="23">
        <v>7</v>
      </c>
      <c r="AT9" s="144"/>
      <c r="AU9" s="84"/>
      <c r="AV9" s="84"/>
      <c r="AW9" s="84"/>
      <c r="AX9" s="84"/>
      <c r="AY9" s="144"/>
      <c r="AZ9" s="144"/>
      <c r="BA9" s="144"/>
      <c r="BB9" s="84"/>
      <c r="BC9" s="84"/>
      <c r="BD9" s="84"/>
      <c r="BF9" s="144"/>
      <c r="BG9" s="144"/>
      <c r="BI9" s="144"/>
      <c r="BJ9" s="144"/>
      <c r="BL9" s="144"/>
      <c r="BM9" s="144"/>
      <c r="CE9" s="144"/>
      <c r="CF9" s="144"/>
      <c r="CG9" s="144"/>
      <c r="CH9" s="144"/>
      <c r="CI9" s="144"/>
      <c r="CJ9" s="144"/>
      <c r="CK9" s="144"/>
      <c r="CL9" s="144"/>
      <c r="CM9" s="144"/>
      <c r="CN9" s="144"/>
      <c r="CO9" s="144"/>
      <c r="CS9" s="119"/>
      <c r="CT9" s="119"/>
      <c r="CU9" s="119"/>
      <c r="CV9" s="119"/>
      <c r="CW9" s="119"/>
      <c r="CX9" s="119"/>
      <c r="DB9" s="251" t="s">
        <v>368</v>
      </c>
      <c r="DC9" s="251"/>
      <c r="DE9" s="423"/>
      <c r="DG9" s="65" t="s">
        <v>408</v>
      </c>
      <c r="DH9" s="65" t="s">
        <v>409</v>
      </c>
      <c r="DQ9" s="232"/>
      <c r="DR9" s="232"/>
    </row>
    <row r="10" spans="1:122" x14ac:dyDescent="0.2">
      <c r="A10" s="21"/>
      <c r="G10" s="144"/>
      <c r="H10" s="21"/>
      <c r="J10" s="21"/>
      <c r="K10" s="21"/>
      <c r="AT10" s="144"/>
      <c r="AU10" s="84"/>
      <c r="AV10" s="84"/>
      <c r="AW10" s="84"/>
      <c r="AX10" s="84"/>
      <c r="AY10" s="144"/>
      <c r="AZ10" s="144"/>
      <c r="BA10" s="144"/>
      <c r="BB10" s="84"/>
      <c r="BC10" s="84"/>
      <c r="BD10" s="84"/>
      <c r="BF10" s="144"/>
      <c r="BG10" s="144"/>
      <c r="BI10" s="144"/>
      <c r="BJ10" s="144"/>
      <c r="BL10" s="144"/>
      <c r="BM10" s="144"/>
      <c r="CE10" s="144"/>
      <c r="CF10" s="144"/>
      <c r="CG10" s="144"/>
      <c r="CH10" s="144"/>
      <c r="CI10" s="144"/>
      <c r="CJ10" s="144"/>
      <c r="CK10" s="144"/>
      <c r="CL10" s="144"/>
      <c r="CM10" s="144"/>
      <c r="CN10" s="144"/>
      <c r="CO10" s="144"/>
      <c r="CS10" s="119"/>
      <c r="CT10" s="119"/>
      <c r="CU10" s="119"/>
      <c r="CV10" s="119"/>
      <c r="CW10" s="119"/>
      <c r="CX10" s="119"/>
      <c r="DE10" s="423"/>
      <c r="DQ10" s="232"/>
      <c r="DR10" s="232"/>
    </row>
    <row r="11" spans="1:122" x14ac:dyDescent="0.2">
      <c r="G11" s="144"/>
      <c r="AT11" s="144"/>
      <c r="AU11" s="84"/>
      <c r="AV11" s="84"/>
      <c r="AW11" s="84"/>
      <c r="AX11" s="84"/>
      <c r="AY11" s="144"/>
      <c r="AZ11" s="144"/>
      <c r="BA11" s="144"/>
      <c r="BB11" s="84"/>
      <c r="BC11" s="84"/>
      <c r="BD11" s="84"/>
      <c r="BF11" s="144"/>
      <c r="BG11" s="144"/>
      <c r="BI11" s="144"/>
      <c r="BJ11" s="144"/>
      <c r="BL11" s="144"/>
      <c r="BM11" s="144"/>
      <c r="CE11" s="144"/>
      <c r="CF11" s="144"/>
      <c r="CG11" s="144"/>
      <c r="CH11" s="144"/>
      <c r="CI11" s="144"/>
      <c r="CJ11" s="144"/>
      <c r="CK11" s="144"/>
      <c r="CL11" s="144"/>
      <c r="CM11" s="144"/>
      <c r="CN11" s="144"/>
      <c r="CO11" s="144"/>
      <c r="CS11" s="119"/>
      <c r="CT11" s="119"/>
      <c r="CU11" s="119"/>
      <c r="CV11" s="119"/>
      <c r="CW11" s="119"/>
      <c r="CX11" s="119"/>
      <c r="DE11" s="423"/>
      <c r="DG11" s="425" t="s">
        <v>393</v>
      </c>
      <c r="DH11" s="425" t="s">
        <v>172</v>
      </c>
      <c r="DQ11" s="232"/>
      <c r="DR11" s="232"/>
    </row>
    <row r="12" spans="1:122" x14ac:dyDescent="0.2">
      <c r="G12" s="144"/>
      <c r="AT12" s="144"/>
      <c r="AU12" s="144"/>
      <c r="AV12" s="144"/>
      <c r="AW12" s="144"/>
      <c r="AX12" s="144"/>
      <c r="AY12" s="144"/>
      <c r="AZ12" s="144"/>
      <c r="BA12" s="144"/>
      <c r="BB12" s="144"/>
      <c r="BC12" s="144"/>
      <c r="BD12" s="144"/>
      <c r="BF12" s="144"/>
      <c r="BG12" s="144"/>
      <c r="BI12" s="144"/>
      <c r="BJ12" s="144"/>
      <c r="BL12" s="144"/>
      <c r="BM12" s="144"/>
      <c r="CE12" s="144"/>
      <c r="CF12" s="144"/>
      <c r="CG12" s="144"/>
      <c r="CH12" s="144"/>
      <c r="CI12" s="144"/>
      <c r="CJ12" s="144"/>
      <c r="CK12" s="144"/>
      <c r="CL12" s="144"/>
      <c r="CM12" s="144"/>
      <c r="CN12" s="144"/>
      <c r="CO12" s="144"/>
      <c r="CS12" s="119"/>
      <c r="CT12" s="119"/>
      <c r="CU12" s="119"/>
      <c r="CV12" s="119"/>
      <c r="CW12" s="119"/>
      <c r="CX12" s="119"/>
      <c r="DE12" s="423"/>
      <c r="DG12" s="437" t="s">
        <v>1998</v>
      </c>
      <c r="DH12" s="65" t="s">
        <v>394</v>
      </c>
      <c r="DQ12" s="232"/>
      <c r="DR12" s="232"/>
    </row>
    <row r="13" spans="1:122" x14ac:dyDescent="0.2">
      <c r="G13" s="144"/>
      <c r="AT13" s="144"/>
      <c r="AU13" s="144"/>
      <c r="AV13" s="144"/>
      <c r="AW13" s="144"/>
      <c r="AX13" s="144"/>
      <c r="AY13" s="144"/>
      <c r="AZ13" s="144"/>
      <c r="BA13" s="144"/>
      <c r="BB13" s="144"/>
      <c r="BC13" s="144"/>
      <c r="BD13" s="144"/>
      <c r="BF13" s="144"/>
      <c r="BG13" s="144"/>
      <c r="BI13" s="144"/>
      <c r="BJ13" s="144"/>
      <c r="BL13" s="144"/>
      <c r="BM13" s="144"/>
      <c r="CE13" s="144"/>
      <c r="CF13" s="144"/>
      <c r="CG13" s="144"/>
      <c r="CH13" s="144"/>
      <c r="CI13" s="144"/>
      <c r="CJ13" s="144"/>
      <c r="CK13" s="144"/>
      <c r="CL13" s="144"/>
      <c r="CM13" s="144"/>
      <c r="CN13" s="144"/>
      <c r="CO13" s="144"/>
      <c r="CS13" s="119"/>
      <c r="CT13" s="119"/>
      <c r="CU13" s="119"/>
      <c r="CV13" s="119"/>
      <c r="CW13" s="119"/>
      <c r="CX13" s="119"/>
      <c r="DE13" s="423"/>
      <c r="DG13" s="437" t="s">
        <v>37</v>
      </c>
      <c r="DH13" s="65" t="s">
        <v>395</v>
      </c>
      <c r="DQ13" s="232"/>
      <c r="DR13" s="232"/>
    </row>
    <row r="14" spans="1:122" x14ac:dyDescent="0.2">
      <c r="G14" s="144"/>
      <c r="AT14" s="144"/>
      <c r="AU14" s="144"/>
      <c r="AV14" s="144"/>
      <c r="AW14" s="144"/>
      <c r="AX14" s="144"/>
      <c r="AY14" s="144"/>
      <c r="AZ14" s="144"/>
      <c r="BA14" s="144"/>
      <c r="BB14" s="144"/>
      <c r="BC14" s="144"/>
      <c r="BD14" s="144"/>
      <c r="BF14" s="144"/>
      <c r="BG14" s="144"/>
      <c r="BI14" s="144"/>
      <c r="BJ14" s="144"/>
      <c r="BL14" s="144"/>
      <c r="BM14" s="144"/>
      <c r="CE14" s="144"/>
      <c r="CF14" s="144"/>
      <c r="CG14" s="144"/>
      <c r="CH14" s="144"/>
      <c r="CI14" s="144"/>
      <c r="CJ14" s="144"/>
      <c r="CK14" s="144"/>
      <c r="CL14" s="144"/>
      <c r="CM14" s="144"/>
      <c r="CN14" s="144"/>
      <c r="CO14" s="144"/>
      <c r="CS14" s="119"/>
      <c r="CT14" s="119"/>
      <c r="CU14" s="119"/>
      <c r="CV14" s="119"/>
      <c r="CW14" s="119"/>
      <c r="CX14" s="119"/>
      <c r="DG14" s="437" t="s">
        <v>398</v>
      </c>
      <c r="DH14" s="65" t="s">
        <v>396</v>
      </c>
      <c r="DQ14" s="232"/>
      <c r="DR14" s="232"/>
    </row>
    <row r="15" spans="1:122" x14ac:dyDescent="0.2">
      <c r="G15" s="144"/>
      <c r="AT15" s="144"/>
      <c r="AU15" s="144"/>
      <c r="AV15" s="144"/>
      <c r="AW15" s="144"/>
      <c r="AX15" s="144"/>
      <c r="AY15" s="144"/>
      <c r="AZ15" s="144"/>
      <c r="BA15" s="144"/>
      <c r="BB15" s="144"/>
      <c r="BC15" s="144"/>
      <c r="BD15" s="144"/>
      <c r="BF15" s="144"/>
      <c r="BG15" s="144"/>
      <c r="BI15" s="144"/>
      <c r="BJ15" s="144"/>
      <c r="BL15" s="144"/>
      <c r="BM15" s="144"/>
      <c r="CE15" s="144"/>
      <c r="CF15" s="144"/>
      <c r="CG15" s="144"/>
      <c r="CH15" s="144"/>
      <c r="CI15" s="144"/>
      <c r="CJ15" s="144"/>
      <c r="CK15" s="144"/>
      <c r="CL15" s="144"/>
      <c r="CM15" s="144"/>
      <c r="CN15" s="144"/>
      <c r="CO15" s="144"/>
      <c r="CS15" s="119"/>
      <c r="CT15" s="119"/>
      <c r="CU15" s="119"/>
      <c r="CV15" s="119"/>
      <c r="CW15" s="119"/>
      <c r="CX15" s="119"/>
      <c r="DG15" s="437" t="s">
        <v>399</v>
      </c>
      <c r="DH15" s="65" t="s">
        <v>397</v>
      </c>
      <c r="DQ15" s="232"/>
      <c r="DR15" s="232"/>
    </row>
    <row r="16" spans="1:122" x14ac:dyDescent="0.2">
      <c r="G16" s="144"/>
      <c r="AT16" s="144"/>
      <c r="AU16" s="144"/>
      <c r="AV16" s="144"/>
      <c r="AW16" s="144"/>
      <c r="AX16" s="144"/>
      <c r="AY16" s="144"/>
      <c r="AZ16" s="144"/>
      <c r="BA16" s="144"/>
      <c r="BB16" s="144"/>
      <c r="BC16" s="144"/>
      <c r="BD16" s="144"/>
      <c r="BF16" s="144"/>
      <c r="BG16" s="144"/>
      <c r="BI16" s="144"/>
      <c r="BJ16" s="144"/>
      <c r="BL16" s="144"/>
      <c r="BM16" s="144"/>
      <c r="CE16" s="144"/>
      <c r="CF16" s="144"/>
      <c r="CG16" s="144"/>
      <c r="CH16" s="144"/>
      <c r="CI16" s="144"/>
      <c r="CJ16" s="144"/>
      <c r="CK16" s="144"/>
      <c r="CL16" s="144"/>
      <c r="CM16" s="144"/>
      <c r="CN16" s="144"/>
      <c r="CO16" s="144"/>
      <c r="CS16" s="119"/>
      <c r="CT16" s="119"/>
      <c r="CU16" s="119"/>
      <c r="CV16" s="119"/>
      <c r="CW16" s="119"/>
      <c r="CX16" s="119"/>
      <c r="DG16" s="65"/>
      <c r="DH16" s="65"/>
      <c r="DQ16" s="232"/>
      <c r="DR16" s="232"/>
    </row>
    <row r="17" spans="7:122" x14ac:dyDescent="0.2">
      <c r="G17" s="144"/>
      <c r="AT17" s="144"/>
      <c r="AU17" s="144"/>
      <c r="AV17" s="144"/>
      <c r="AW17" s="144"/>
      <c r="AX17" s="144"/>
      <c r="AY17" s="144"/>
      <c r="AZ17" s="144"/>
      <c r="BA17" s="144"/>
      <c r="BB17" s="144"/>
      <c r="BC17" s="144"/>
      <c r="BD17" s="144"/>
      <c r="BF17" s="144"/>
      <c r="BG17" s="144"/>
      <c r="BI17" s="144"/>
      <c r="BJ17" s="144"/>
      <c r="BL17" s="144"/>
      <c r="BM17" s="144"/>
      <c r="CE17" s="144"/>
      <c r="CF17" s="144"/>
      <c r="CG17" s="144"/>
      <c r="CH17" s="144"/>
      <c r="CI17" s="144"/>
      <c r="CJ17" s="144"/>
      <c r="CK17" s="144"/>
      <c r="CL17" s="144"/>
      <c r="CM17" s="144"/>
      <c r="CN17" s="144"/>
      <c r="CO17" s="144"/>
      <c r="CS17" s="119"/>
      <c r="CT17" s="119"/>
      <c r="CU17" s="119"/>
      <c r="CV17" s="119"/>
      <c r="CW17" s="119"/>
      <c r="CX17" s="119"/>
      <c r="DG17" s="425" t="s">
        <v>156</v>
      </c>
      <c r="DH17" s="425" t="s">
        <v>172</v>
      </c>
      <c r="DQ17" s="232"/>
      <c r="DR17" s="232"/>
    </row>
    <row r="18" spans="7:122" x14ac:dyDescent="0.2">
      <c r="G18" s="144"/>
      <c r="AT18" s="144"/>
      <c r="AU18" s="144"/>
      <c r="AV18" s="144"/>
      <c r="AW18" s="144"/>
      <c r="AX18" s="144"/>
      <c r="AY18" s="144"/>
      <c r="AZ18" s="144"/>
      <c r="BA18" s="144"/>
      <c r="BB18" s="144"/>
      <c r="BC18" s="144"/>
      <c r="BD18" s="144"/>
      <c r="BF18" s="144"/>
      <c r="BG18" s="144"/>
      <c r="BI18" s="144"/>
      <c r="BJ18" s="144"/>
      <c r="BL18" s="144"/>
      <c r="BM18" s="144"/>
      <c r="CE18" s="144"/>
      <c r="CF18" s="144"/>
      <c r="CG18" s="144"/>
      <c r="CH18" s="144"/>
      <c r="CI18" s="144"/>
      <c r="CJ18" s="144"/>
      <c r="CK18" s="144"/>
      <c r="CL18" s="144"/>
      <c r="CM18" s="144"/>
      <c r="CN18" s="144"/>
      <c r="CO18" s="144"/>
      <c r="CS18" s="119"/>
      <c r="CT18" s="119"/>
      <c r="CU18" s="119"/>
      <c r="CV18" s="119"/>
      <c r="CW18" s="119"/>
      <c r="CX18" s="119"/>
      <c r="DG18" s="437" t="s">
        <v>400</v>
      </c>
      <c r="DH18" s="143" t="s">
        <v>404</v>
      </c>
      <c r="DQ18" s="232"/>
      <c r="DR18" s="232"/>
    </row>
    <row r="19" spans="7:122" x14ac:dyDescent="0.2">
      <c r="G19" s="144"/>
      <c r="AT19" s="144"/>
      <c r="AU19" s="144"/>
      <c r="AV19" s="144"/>
      <c r="AW19" s="144"/>
      <c r="AX19" s="144"/>
      <c r="AY19" s="144"/>
      <c r="AZ19" s="144"/>
      <c r="BA19" s="144"/>
      <c r="BB19" s="144"/>
      <c r="BC19" s="144"/>
      <c r="BD19" s="144"/>
      <c r="BF19" s="144"/>
      <c r="BG19" s="144"/>
      <c r="BI19" s="144"/>
      <c r="BJ19" s="144"/>
      <c r="BL19" s="144"/>
      <c r="BM19" s="144"/>
      <c r="CE19" s="144"/>
      <c r="CF19" s="144"/>
      <c r="CG19" s="144"/>
      <c r="CH19" s="144"/>
      <c r="CI19" s="144"/>
      <c r="CJ19" s="144"/>
      <c r="CK19" s="144"/>
      <c r="CL19" s="144"/>
      <c r="CM19" s="144"/>
      <c r="CN19" s="144"/>
      <c r="CO19" s="144"/>
      <c r="CS19" s="119"/>
      <c r="CT19" s="119"/>
      <c r="CU19" s="119"/>
      <c r="CV19" s="119"/>
      <c r="CW19" s="119"/>
      <c r="CX19" s="119"/>
      <c r="DG19" s="437" t="s">
        <v>401</v>
      </c>
      <c r="DH19" s="65" t="s">
        <v>405</v>
      </c>
      <c r="DQ19" s="232"/>
      <c r="DR19" s="232"/>
    </row>
    <row r="20" spans="7:122" x14ac:dyDescent="0.2">
      <c r="G20" s="144"/>
      <c r="AT20" s="144"/>
      <c r="AU20" s="144"/>
      <c r="AV20" s="144"/>
      <c r="AW20" s="144"/>
      <c r="AX20" s="144"/>
      <c r="AY20" s="144"/>
      <c r="AZ20" s="144"/>
      <c r="BA20" s="144"/>
      <c r="BB20" s="144"/>
      <c r="BC20" s="144"/>
      <c r="BD20" s="144"/>
      <c r="BF20" s="144"/>
      <c r="BG20" s="144"/>
      <c r="BI20" s="144"/>
      <c r="BJ20" s="144"/>
      <c r="BL20" s="144"/>
      <c r="BM20" s="144"/>
      <c r="CE20" s="144"/>
      <c r="CF20" s="144"/>
      <c r="CG20" s="144"/>
      <c r="CH20" s="144"/>
      <c r="CI20" s="144"/>
      <c r="CJ20" s="144"/>
      <c r="CK20" s="144"/>
      <c r="CL20" s="144"/>
      <c r="CM20" s="144"/>
      <c r="CN20" s="144"/>
      <c r="CO20" s="144"/>
      <c r="CS20" s="119"/>
      <c r="CT20" s="119"/>
      <c r="CU20" s="119"/>
      <c r="CV20" s="119"/>
      <c r="CW20" s="119"/>
      <c r="CX20" s="119"/>
      <c r="DG20" s="438" t="s">
        <v>596</v>
      </c>
      <c r="DH20" s="65" t="s">
        <v>406</v>
      </c>
      <c r="DQ20" s="232"/>
      <c r="DR20" s="232"/>
    </row>
    <row r="21" spans="7:122" x14ac:dyDescent="0.2">
      <c r="G21" s="144"/>
      <c r="AT21" s="144"/>
      <c r="AU21" s="144"/>
      <c r="AV21" s="144"/>
      <c r="AW21" s="144"/>
      <c r="AX21" s="144"/>
      <c r="AY21" s="144"/>
      <c r="AZ21" s="144"/>
      <c r="BA21" s="144"/>
      <c r="BB21" s="144"/>
      <c r="BC21" s="144"/>
      <c r="BD21" s="144"/>
      <c r="BF21" s="144"/>
      <c r="BG21" s="144"/>
      <c r="BI21" s="144"/>
      <c r="BJ21" s="144"/>
      <c r="BL21" s="144"/>
      <c r="BM21" s="144"/>
      <c r="CE21" s="144"/>
      <c r="CF21" s="144"/>
      <c r="CG21" s="144"/>
      <c r="CH21" s="144"/>
      <c r="CI21" s="144"/>
      <c r="CJ21" s="144"/>
      <c r="CK21" s="144"/>
      <c r="CL21" s="144"/>
      <c r="CM21" s="144"/>
      <c r="CN21" s="144"/>
      <c r="CO21" s="144"/>
      <c r="CS21" s="119"/>
      <c r="CT21" s="119"/>
      <c r="CU21" s="119"/>
      <c r="CV21" s="119"/>
      <c r="CW21" s="119"/>
      <c r="CX21" s="119"/>
      <c r="DG21" s="438" t="s">
        <v>402</v>
      </c>
      <c r="DH21" s="65" t="s">
        <v>407</v>
      </c>
      <c r="DQ21" s="232"/>
      <c r="DR21" s="232"/>
    </row>
    <row r="22" spans="7:122" x14ac:dyDescent="0.2">
      <c r="G22" s="144"/>
      <c r="AT22" s="144"/>
      <c r="AU22" s="144"/>
      <c r="AV22" s="144"/>
      <c r="AW22" s="144"/>
      <c r="AX22" s="144"/>
      <c r="AY22" s="144"/>
      <c r="AZ22" s="144"/>
      <c r="BA22" s="144"/>
      <c r="BB22" s="144"/>
      <c r="BC22" s="144"/>
      <c r="BD22" s="144"/>
      <c r="BF22" s="144"/>
      <c r="BG22" s="144"/>
      <c r="BI22" s="144"/>
      <c r="BJ22" s="144"/>
      <c r="BL22" s="144"/>
      <c r="BM22" s="144"/>
      <c r="CE22" s="144"/>
      <c r="CF22" s="144"/>
      <c r="CG22" s="144"/>
      <c r="CH22" s="144"/>
      <c r="CI22" s="144"/>
      <c r="CJ22" s="144"/>
      <c r="CK22" s="144"/>
      <c r="CL22" s="144"/>
      <c r="CM22" s="144"/>
      <c r="CN22" s="144"/>
      <c r="CO22" s="144"/>
      <c r="CS22" s="119"/>
      <c r="CT22" s="119"/>
      <c r="CU22" s="119"/>
      <c r="CV22" s="119"/>
      <c r="CW22" s="119"/>
      <c r="CX22" s="119"/>
      <c r="DG22" s="438" t="s">
        <v>2006</v>
      </c>
      <c r="DH22" s="65" t="s">
        <v>403</v>
      </c>
      <c r="DQ22" s="232"/>
    </row>
    <row r="23" spans="7:122" x14ac:dyDescent="0.2">
      <c r="G23" s="144"/>
      <c r="AT23" s="144"/>
      <c r="AU23" s="144"/>
      <c r="AV23" s="144"/>
      <c r="AW23" s="144"/>
      <c r="AX23" s="144"/>
      <c r="AY23" s="144"/>
      <c r="AZ23" s="144"/>
      <c r="BA23" s="144"/>
      <c r="BB23" s="144"/>
      <c r="BC23" s="144"/>
      <c r="BD23" s="144"/>
      <c r="BF23" s="144"/>
      <c r="BG23" s="144"/>
      <c r="BI23" s="144"/>
      <c r="BJ23" s="144"/>
      <c r="BL23" s="144"/>
      <c r="BM23" s="144"/>
      <c r="CE23" s="144"/>
      <c r="CF23" s="144"/>
      <c r="CG23" s="144"/>
      <c r="CH23" s="144"/>
      <c r="CI23" s="144"/>
      <c r="CJ23" s="144"/>
      <c r="CK23" s="144"/>
      <c r="CL23" s="144"/>
      <c r="CM23" s="144"/>
      <c r="CN23" s="144"/>
      <c r="CO23" s="144"/>
      <c r="CS23" s="119"/>
      <c r="CT23" s="119"/>
      <c r="CU23" s="119"/>
      <c r="CV23" s="119"/>
      <c r="CW23" s="119"/>
      <c r="CX23" s="119"/>
      <c r="DE23" s="84"/>
      <c r="DQ23" s="232"/>
      <c r="DR23" s="232"/>
    </row>
    <row r="24" spans="7:122" x14ac:dyDescent="0.2">
      <c r="G24" s="144"/>
      <c r="AT24" s="144"/>
      <c r="AU24" s="144"/>
      <c r="AV24" s="144"/>
      <c r="AW24" s="144"/>
      <c r="AX24" s="144"/>
      <c r="AY24" s="144"/>
      <c r="AZ24" s="144"/>
      <c r="BA24" s="144"/>
      <c r="BB24" s="144"/>
      <c r="BC24" s="144"/>
      <c r="BD24" s="144"/>
      <c r="BF24" s="144"/>
      <c r="BG24" s="144"/>
      <c r="BI24" s="144"/>
      <c r="BJ24" s="144"/>
      <c r="BL24" s="144"/>
      <c r="BM24" s="144"/>
      <c r="CE24" s="144"/>
      <c r="CF24" s="144"/>
      <c r="CG24" s="144"/>
      <c r="CH24" s="144"/>
      <c r="CI24" s="144"/>
      <c r="CJ24" s="144"/>
      <c r="CK24" s="144"/>
      <c r="CL24" s="144"/>
      <c r="CM24" s="144"/>
      <c r="CN24" s="144"/>
      <c r="CO24" s="144"/>
      <c r="CS24" s="119"/>
      <c r="CT24" s="119"/>
      <c r="CU24" s="119"/>
      <c r="CV24" s="119"/>
      <c r="CW24" s="119"/>
      <c r="CX24" s="119"/>
      <c r="DG24" s="425" t="s">
        <v>388</v>
      </c>
      <c r="DH24" s="425" t="s">
        <v>172</v>
      </c>
    </row>
    <row r="25" spans="7:122" x14ac:dyDescent="0.2">
      <c r="G25" s="144"/>
      <c r="AT25" s="144"/>
      <c r="AU25" s="144"/>
      <c r="AV25" s="144"/>
      <c r="AW25" s="144"/>
      <c r="AX25" s="144"/>
      <c r="AY25" s="144"/>
      <c r="AZ25" s="144"/>
      <c r="BA25" s="144"/>
      <c r="BB25" s="144"/>
      <c r="BC25" s="144"/>
      <c r="BD25" s="144"/>
      <c r="BF25" s="144"/>
      <c r="BG25" s="144"/>
      <c r="BI25" s="144"/>
      <c r="BJ25" s="144"/>
      <c r="BL25" s="144"/>
      <c r="BM25" s="144"/>
      <c r="CE25" s="144"/>
      <c r="CF25" s="144"/>
      <c r="CG25" s="144"/>
      <c r="CH25" s="144"/>
      <c r="CI25" s="144"/>
      <c r="CJ25" s="144"/>
      <c r="CK25" s="144"/>
      <c r="CL25" s="144"/>
      <c r="CM25" s="144"/>
      <c r="CN25" s="144"/>
      <c r="CO25" s="144"/>
      <c r="CS25" s="119"/>
      <c r="CT25" s="119"/>
      <c r="CU25" s="119"/>
      <c r="CV25" s="119"/>
      <c r="CW25" s="119"/>
      <c r="CX25" s="119"/>
      <c r="DG25" s="65" t="s">
        <v>389</v>
      </c>
      <c r="DH25" s="413" t="s">
        <v>418</v>
      </c>
    </row>
    <row r="26" spans="7:122" x14ac:dyDescent="0.2">
      <c r="G26" s="144"/>
      <c r="AT26" s="144"/>
      <c r="AU26" s="144"/>
      <c r="AV26" s="144"/>
      <c r="AW26" s="144"/>
      <c r="AX26" s="144"/>
      <c r="AY26" s="144"/>
      <c r="AZ26" s="144"/>
      <c r="BA26" s="144"/>
      <c r="BB26" s="144"/>
      <c r="BC26" s="144"/>
      <c r="BD26" s="144"/>
      <c r="BF26" s="144"/>
      <c r="BG26" s="144"/>
      <c r="BI26" s="144"/>
      <c r="BJ26" s="144"/>
      <c r="BL26" s="144"/>
      <c r="BM26" s="144"/>
      <c r="CE26" s="144"/>
      <c r="CF26" s="144"/>
      <c r="CG26" s="144"/>
      <c r="CH26" s="144"/>
      <c r="CI26" s="144"/>
      <c r="CJ26" s="144"/>
      <c r="CK26" s="144"/>
      <c r="CL26" s="144"/>
      <c r="CM26" s="144"/>
      <c r="CN26" s="144"/>
      <c r="CO26" s="144"/>
      <c r="CS26" s="119"/>
      <c r="CT26" s="119"/>
      <c r="CU26" s="119"/>
      <c r="CV26" s="119"/>
      <c r="CW26" s="119"/>
      <c r="CX26" s="119"/>
      <c r="DG26" s="65" t="s">
        <v>390</v>
      </c>
      <c r="DH26" s="413" t="s">
        <v>417</v>
      </c>
    </row>
    <row r="27" spans="7:122" x14ac:dyDescent="0.2">
      <c r="G27" s="144"/>
      <c r="AT27" s="144"/>
      <c r="AU27" s="144"/>
      <c r="AV27" s="144"/>
      <c r="AW27" s="144"/>
      <c r="AX27" s="144"/>
      <c r="AY27" s="144"/>
      <c r="AZ27" s="144"/>
      <c r="BA27" s="144"/>
      <c r="BB27" s="144"/>
      <c r="BC27" s="144"/>
      <c r="BD27" s="144"/>
      <c r="BF27" s="144"/>
      <c r="BG27" s="144"/>
      <c r="BI27" s="144"/>
      <c r="BJ27" s="144"/>
      <c r="BL27" s="144"/>
      <c r="BM27" s="144"/>
      <c r="CE27" s="144"/>
      <c r="CF27" s="144"/>
      <c r="CG27" s="144"/>
      <c r="CH27" s="144"/>
      <c r="CI27" s="144"/>
      <c r="CJ27" s="144"/>
      <c r="CK27" s="144"/>
      <c r="CL27" s="144"/>
      <c r="CM27" s="144"/>
      <c r="CN27" s="144"/>
      <c r="CO27" s="144"/>
      <c r="CS27" s="119"/>
      <c r="CT27" s="119"/>
      <c r="CU27" s="119"/>
      <c r="CV27" s="119"/>
      <c r="CW27" s="119"/>
      <c r="CX27" s="119"/>
      <c r="DG27" s="65" t="s">
        <v>391</v>
      </c>
      <c r="DH27" s="413" t="s">
        <v>416</v>
      </c>
    </row>
    <row r="28" spans="7:122" x14ac:dyDescent="0.2">
      <c r="G28" s="144"/>
      <c r="AT28" s="144"/>
      <c r="AU28" s="144"/>
      <c r="AV28" s="144"/>
      <c r="AW28" s="144"/>
      <c r="AX28" s="144"/>
      <c r="AY28" s="144"/>
      <c r="AZ28" s="144"/>
      <c r="BA28" s="144"/>
      <c r="BB28" s="144"/>
      <c r="BC28" s="144"/>
      <c r="BD28" s="144"/>
      <c r="BF28" s="144"/>
      <c r="BG28" s="144"/>
      <c r="BI28" s="144"/>
      <c r="BJ28" s="144"/>
      <c r="BL28" s="144"/>
      <c r="BM28" s="144"/>
      <c r="CE28" s="144"/>
      <c r="CF28" s="144"/>
      <c r="CG28" s="144"/>
      <c r="CH28" s="144"/>
      <c r="CI28" s="144"/>
      <c r="CJ28" s="144"/>
      <c r="CK28" s="144"/>
      <c r="CL28" s="144"/>
      <c r="CM28" s="144"/>
      <c r="CN28" s="144"/>
      <c r="CO28" s="144"/>
      <c r="CS28" s="119"/>
      <c r="CT28" s="119"/>
      <c r="CU28" s="119"/>
      <c r="CV28" s="119"/>
      <c r="CW28" s="119"/>
      <c r="CX28" s="119"/>
      <c r="DG28" s="65" t="s">
        <v>392</v>
      </c>
      <c r="DH28" s="439" t="s">
        <v>419</v>
      </c>
    </row>
    <row r="29" spans="7:122" x14ac:dyDescent="0.2">
      <c r="G29" s="144"/>
      <c r="AT29" s="144"/>
      <c r="AU29" s="144"/>
      <c r="AV29" s="144"/>
      <c r="AW29" s="144"/>
      <c r="AX29" s="144"/>
      <c r="AY29" s="144"/>
      <c r="AZ29" s="144"/>
      <c r="BA29" s="144"/>
      <c r="BB29" s="144"/>
      <c r="BC29" s="144"/>
      <c r="BD29" s="144"/>
      <c r="BF29" s="144"/>
      <c r="BG29" s="144"/>
      <c r="BI29" s="144"/>
      <c r="BJ29" s="144"/>
      <c r="BL29" s="144"/>
      <c r="BM29" s="144"/>
      <c r="CE29" s="144"/>
      <c r="CF29" s="144"/>
      <c r="CG29" s="144"/>
      <c r="CH29" s="144"/>
      <c r="CI29" s="144"/>
      <c r="CJ29" s="144"/>
      <c r="CK29" s="144"/>
      <c r="CL29" s="144"/>
      <c r="CM29" s="144"/>
      <c r="CN29" s="144"/>
      <c r="CO29" s="144"/>
      <c r="CS29" s="119"/>
      <c r="CT29" s="119"/>
      <c r="CU29" s="119"/>
      <c r="CV29" s="119"/>
      <c r="CW29" s="119"/>
      <c r="CX29" s="122"/>
    </row>
    <row r="30" spans="7:122" x14ac:dyDescent="0.2">
      <c r="G30" s="144"/>
      <c r="AT30" s="144"/>
      <c r="AU30" s="144"/>
      <c r="AV30" s="144"/>
      <c r="AW30" s="144"/>
      <c r="AX30" s="144"/>
      <c r="AY30" s="144"/>
      <c r="AZ30" s="144"/>
      <c r="BA30" s="144"/>
      <c r="BB30" s="144"/>
      <c r="BC30" s="144"/>
      <c r="BD30" s="144"/>
      <c r="BF30" s="144"/>
      <c r="BG30" s="144"/>
      <c r="BI30" s="144"/>
      <c r="BJ30" s="144"/>
      <c r="BL30" s="144"/>
      <c r="BM30" s="144"/>
      <c r="CE30" s="144"/>
      <c r="CF30" s="144"/>
      <c r="CG30" s="144"/>
      <c r="CH30" s="144"/>
      <c r="CI30" s="144"/>
      <c r="CJ30" s="144"/>
      <c r="CK30" s="144"/>
      <c r="CL30" s="144"/>
      <c r="CM30" s="144"/>
      <c r="CN30" s="144"/>
      <c r="CO30" s="144"/>
      <c r="CS30" s="119"/>
      <c r="CT30" s="119"/>
      <c r="CU30" s="119"/>
      <c r="CV30" s="119"/>
      <c r="CW30" s="119"/>
      <c r="CX30" s="119"/>
      <c r="DG30" s="444" t="s">
        <v>1999</v>
      </c>
      <c r="DH30" s="445" t="s">
        <v>172</v>
      </c>
    </row>
    <row r="31" spans="7:122" x14ac:dyDescent="0.2">
      <c r="G31" s="144"/>
      <c r="AT31" s="144"/>
      <c r="AU31" s="144"/>
      <c r="AV31" s="144"/>
      <c r="AW31" s="144"/>
      <c r="AX31" s="144"/>
      <c r="AY31" s="144"/>
      <c r="AZ31" s="144"/>
      <c r="BA31" s="144"/>
      <c r="BB31" s="144"/>
      <c r="BC31" s="144"/>
      <c r="BD31" s="144"/>
      <c r="BF31" s="144"/>
      <c r="BG31" s="144"/>
      <c r="BI31" s="144"/>
      <c r="BJ31" s="144"/>
      <c r="BL31" s="144"/>
      <c r="BM31" s="144"/>
      <c r="CE31" s="144"/>
      <c r="CF31" s="144"/>
      <c r="CG31" s="144"/>
      <c r="CH31" s="144"/>
      <c r="CI31" s="144"/>
      <c r="CJ31" s="144"/>
      <c r="CK31" s="144"/>
      <c r="CL31" s="144"/>
      <c r="CM31" s="144"/>
      <c r="CN31" s="144"/>
      <c r="CO31" s="144"/>
      <c r="CS31" s="119"/>
      <c r="CT31" s="119"/>
      <c r="CU31" s="119"/>
      <c r="CV31" s="119"/>
      <c r="CW31" s="119"/>
      <c r="CX31" s="119"/>
      <c r="DG31" s="412" t="s">
        <v>2000</v>
      </c>
      <c r="DH31" s="411" t="s">
        <v>2003</v>
      </c>
    </row>
    <row r="32" spans="7:122" x14ac:dyDescent="0.2">
      <c r="G32" s="144"/>
      <c r="AT32" s="144"/>
      <c r="AU32" s="144"/>
      <c r="AV32" s="144"/>
      <c r="AW32" s="144"/>
      <c r="AX32" s="144"/>
      <c r="AY32" s="144"/>
      <c r="AZ32" s="144"/>
      <c r="BA32" s="144"/>
      <c r="BB32" s="144"/>
      <c r="BC32" s="144"/>
      <c r="BD32" s="144"/>
      <c r="BF32" s="144"/>
      <c r="BG32" s="144"/>
      <c r="BI32" s="144"/>
      <c r="BJ32" s="144"/>
      <c r="BL32" s="144"/>
      <c r="BM32" s="144"/>
      <c r="CE32" s="144"/>
      <c r="CF32" s="144"/>
      <c r="CG32" s="144"/>
      <c r="CH32" s="144"/>
      <c r="CI32" s="144"/>
      <c r="CJ32" s="144"/>
      <c r="CK32" s="144"/>
      <c r="CL32" s="144"/>
      <c r="CM32" s="144"/>
      <c r="CN32" s="144"/>
      <c r="CO32" s="144"/>
      <c r="CS32" s="119"/>
      <c r="CT32" s="119"/>
      <c r="CU32" s="119"/>
      <c r="CV32" s="119"/>
      <c r="CW32" s="119"/>
      <c r="CX32" s="119"/>
      <c r="DG32" s="412" t="s">
        <v>2001</v>
      </c>
      <c r="DH32" s="411" t="s">
        <v>2004</v>
      </c>
    </row>
    <row r="33" spans="7:112" x14ac:dyDescent="0.2">
      <c r="G33" s="144"/>
      <c r="AT33" s="144"/>
      <c r="AU33" s="144"/>
      <c r="AV33" s="144"/>
      <c r="AW33" s="144"/>
      <c r="AX33" s="144"/>
      <c r="AY33" s="144"/>
      <c r="AZ33" s="144"/>
      <c r="BA33" s="144"/>
      <c r="BB33" s="144"/>
      <c r="BC33" s="144"/>
      <c r="BD33" s="144"/>
      <c r="BF33" s="144"/>
      <c r="BG33" s="144"/>
      <c r="BI33" s="144"/>
      <c r="BJ33" s="144"/>
      <c r="BL33" s="144"/>
      <c r="BM33" s="144"/>
      <c r="CE33" s="144"/>
      <c r="CF33" s="144"/>
      <c r="CG33" s="144"/>
      <c r="CH33" s="144"/>
      <c r="CI33" s="144"/>
      <c r="CJ33" s="144"/>
      <c r="CK33" s="144"/>
      <c r="CL33" s="144"/>
      <c r="CM33" s="144"/>
      <c r="CN33" s="144"/>
      <c r="CO33" s="144"/>
      <c r="CS33" s="119"/>
      <c r="CT33" s="119"/>
      <c r="CU33" s="119"/>
      <c r="CV33" s="119"/>
      <c r="CW33" s="119"/>
      <c r="CX33" s="119"/>
      <c r="DG33" s="412" t="s">
        <v>2002</v>
      </c>
      <c r="DH33" s="411" t="s">
        <v>2005</v>
      </c>
    </row>
    <row r="34" spans="7:112" x14ac:dyDescent="0.2">
      <c r="G34" s="144"/>
      <c r="AT34" s="144"/>
      <c r="AU34" s="144"/>
      <c r="AV34" s="144"/>
      <c r="AW34" s="144"/>
      <c r="AX34" s="144"/>
      <c r="AY34" s="144"/>
      <c r="AZ34" s="144"/>
      <c r="BA34" s="144"/>
      <c r="BB34" s="144"/>
      <c r="BC34" s="144"/>
      <c r="BD34" s="144"/>
      <c r="BF34" s="144"/>
      <c r="BG34" s="144"/>
      <c r="BI34" s="144"/>
      <c r="BJ34" s="144"/>
      <c r="BL34" s="144"/>
      <c r="BM34" s="144"/>
      <c r="CE34" s="144"/>
      <c r="CF34" s="144"/>
      <c r="CG34" s="144"/>
      <c r="CH34" s="144"/>
      <c r="CI34" s="144"/>
      <c r="CJ34" s="144"/>
      <c r="CK34" s="144"/>
      <c r="CL34" s="144"/>
      <c r="CM34" s="144"/>
      <c r="CN34" s="144"/>
      <c r="CO34" s="144"/>
      <c r="CS34" s="119"/>
      <c r="CT34" s="119"/>
      <c r="CU34" s="119"/>
      <c r="CV34" s="119"/>
      <c r="CW34" s="119"/>
      <c r="CX34" s="119"/>
    </row>
    <row r="35" spans="7:112" x14ac:dyDescent="0.2">
      <c r="G35" s="144"/>
      <c r="AT35" s="144"/>
      <c r="AU35" s="144"/>
      <c r="AV35" s="144"/>
      <c r="AW35" s="144"/>
      <c r="AX35" s="144"/>
      <c r="AY35" s="144"/>
      <c r="AZ35" s="144"/>
      <c r="BA35" s="144"/>
      <c r="BB35" s="144"/>
      <c r="BC35" s="144"/>
      <c r="BD35" s="144"/>
      <c r="BF35" s="144"/>
      <c r="BG35" s="144"/>
      <c r="BI35" s="144"/>
      <c r="BJ35" s="144"/>
      <c r="BL35" s="144"/>
      <c r="BM35" s="144"/>
      <c r="CE35" s="144"/>
      <c r="CF35" s="144"/>
      <c r="CG35" s="144"/>
      <c r="CH35" s="144"/>
      <c r="CI35" s="144"/>
      <c r="CJ35" s="144"/>
      <c r="CK35" s="144"/>
      <c r="CL35" s="144"/>
      <c r="CM35" s="144"/>
      <c r="CN35" s="144"/>
      <c r="CO35" s="144"/>
      <c r="CS35" s="119"/>
      <c r="CT35" s="119"/>
      <c r="CU35" s="119"/>
      <c r="CV35" s="119"/>
      <c r="CW35" s="119"/>
      <c r="CX35" s="119"/>
      <c r="DH35" s="119"/>
    </row>
    <row r="36" spans="7:112" x14ac:dyDescent="0.2">
      <c r="G36" s="144"/>
      <c r="AT36" s="144"/>
      <c r="AU36" s="144"/>
      <c r="AV36" s="144"/>
      <c r="AW36" s="144"/>
      <c r="AX36" s="144"/>
      <c r="AY36" s="144"/>
      <c r="AZ36" s="144"/>
      <c r="BA36" s="144"/>
      <c r="BB36" s="144"/>
      <c r="BC36" s="144"/>
      <c r="BD36" s="144"/>
      <c r="BF36" s="144"/>
      <c r="BG36" s="144"/>
      <c r="BI36" s="144"/>
      <c r="BJ36" s="144"/>
      <c r="BL36" s="144"/>
      <c r="BM36" s="144"/>
      <c r="CE36" s="144"/>
      <c r="CF36" s="144"/>
      <c r="CG36" s="144"/>
      <c r="CH36" s="144"/>
      <c r="CI36" s="144"/>
      <c r="CJ36" s="144"/>
      <c r="CK36" s="144"/>
      <c r="CL36" s="144"/>
      <c r="CM36" s="144"/>
      <c r="CN36" s="144"/>
      <c r="CO36" s="144"/>
      <c r="CS36" s="119"/>
      <c r="CT36" s="119"/>
      <c r="CU36" s="119"/>
      <c r="CV36" s="119"/>
      <c r="CW36" s="119"/>
      <c r="CX36" s="119"/>
    </row>
    <row r="37" spans="7:112" x14ac:dyDescent="0.2">
      <c r="G37" s="144"/>
      <c r="AT37" s="144"/>
      <c r="AU37" s="144"/>
      <c r="AV37" s="144"/>
      <c r="AW37" s="144"/>
      <c r="AX37" s="144"/>
      <c r="AY37" s="144"/>
      <c r="AZ37" s="144"/>
      <c r="BA37" s="144"/>
      <c r="BB37" s="144"/>
      <c r="BC37" s="144"/>
      <c r="BD37" s="144"/>
      <c r="BF37" s="144"/>
      <c r="BG37" s="144"/>
      <c r="BI37" s="144"/>
      <c r="BJ37" s="144"/>
      <c r="BL37" s="144"/>
      <c r="BM37" s="144"/>
      <c r="CE37" s="144"/>
      <c r="CF37" s="144"/>
      <c r="CG37" s="144"/>
      <c r="CH37" s="144"/>
      <c r="CI37" s="144"/>
      <c r="CJ37" s="144"/>
      <c r="CK37" s="144"/>
      <c r="CL37" s="144"/>
      <c r="CM37" s="144"/>
      <c r="CN37" s="144"/>
      <c r="CO37" s="144"/>
      <c r="CS37" s="119"/>
      <c r="CT37" s="119"/>
      <c r="CU37" s="119"/>
      <c r="CV37" s="119"/>
      <c r="CW37" s="119"/>
      <c r="CX37" s="119"/>
    </row>
    <row r="38" spans="7:112" x14ac:dyDescent="0.2">
      <c r="G38" s="144"/>
      <c r="AT38" s="144"/>
      <c r="AU38" s="144"/>
      <c r="AV38" s="144"/>
      <c r="AW38" s="144"/>
      <c r="AX38" s="144"/>
      <c r="AY38" s="144"/>
      <c r="AZ38" s="144"/>
      <c r="BA38" s="144"/>
      <c r="BB38" s="144"/>
      <c r="BC38" s="144"/>
      <c r="BD38" s="144"/>
      <c r="BF38" s="144"/>
      <c r="BG38" s="144"/>
      <c r="BI38" s="144"/>
      <c r="BJ38" s="144"/>
      <c r="BL38" s="144"/>
      <c r="BM38" s="144"/>
      <c r="CE38" s="144"/>
      <c r="CF38" s="144"/>
      <c r="CG38" s="144"/>
      <c r="CH38" s="144"/>
      <c r="CI38" s="144"/>
      <c r="CJ38" s="144"/>
      <c r="CK38" s="144"/>
      <c r="CL38" s="144"/>
      <c r="CM38" s="144"/>
      <c r="CN38" s="144"/>
      <c r="CO38" s="144"/>
      <c r="CS38" s="119"/>
      <c r="CT38" s="119"/>
      <c r="CU38" s="119"/>
      <c r="CV38" s="119"/>
      <c r="CW38" s="119"/>
      <c r="CX38" s="119"/>
    </row>
    <row r="39" spans="7:112" x14ac:dyDescent="0.2">
      <c r="G39" s="144"/>
      <c r="AT39" s="144"/>
      <c r="AU39" s="144"/>
      <c r="AV39" s="144"/>
      <c r="AW39" s="144"/>
      <c r="AX39" s="144"/>
      <c r="AY39" s="144"/>
      <c r="AZ39" s="144"/>
      <c r="BA39" s="144"/>
      <c r="BB39" s="144"/>
      <c r="BC39" s="144"/>
      <c r="BD39" s="144"/>
      <c r="BF39" s="144"/>
      <c r="BG39" s="144"/>
      <c r="BI39" s="144"/>
      <c r="BJ39" s="144"/>
      <c r="BL39" s="144"/>
      <c r="BM39" s="144"/>
      <c r="CE39" s="144"/>
      <c r="CF39" s="144"/>
      <c r="CG39" s="144"/>
      <c r="CH39" s="144"/>
      <c r="CI39" s="144"/>
      <c r="CJ39" s="144"/>
      <c r="CK39" s="144"/>
      <c r="CL39" s="144"/>
      <c r="CM39" s="144"/>
      <c r="CN39" s="144"/>
      <c r="CO39" s="144"/>
      <c r="CS39" s="119"/>
      <c r="CT39" s="119"/>
      <c r="CU39" s="119"/>
      <c r="CV39" s="119"/>
      <c r="CW39" s="119"/>
      <c r="CX39" s="119"/>
    </row>
    <row r="40" spans="7:112" x14ac:dyDescent="0.2">
      <c r="G40" s="144"/>
      <c r="AT40" s="144"/>
      <c r="AU40" s="144"/>
      <c r="AV40" s="144"/>
      <c r="AW40" s="144"/>
      <c r="AX40" s="144"/>
      <c r="AY40" s="144"/>
      <c r="AZ40" s="144"/>
      <c r="BA40" s="144"/>
      <c r="BB40" s="144"/>
      <c r="BC40" s="144"/>
      <c r="BD40" s="144"/>
      <c r="BF40" s="144"/>
      <c r="BG40" s="144"/>
      <c r="BI40" s="144"/>
      <c r="BJ40" s="144"/>
      <c r="BL40" s="144"/>
      <c r="BM40" s="144"/>
      <c r="CE40" s="144"/>
      <c r="CF40" s="144"/>
      <c r="CG40" s="144"/>
      <c r="CH40" s="144"/>
      <c r="CI40" s="144"/>
      <c r="CJ40" s="144"/>
      <c r="CK40" s="144"/>
      <c r="CL40" s="144"/>
      <c r="CM40" s="144"/>
      <c r="CN40" s="144"/>
      <c r="CO40" s="144"/>
      <c r="CS40" s="119"/>
      <c r="CT40" s="119"/>
      <c r="CU40" s="119"/>
      <c r="CV40" s="119"/>
      <c r="CW40" s="119"/>
      <c r="CX40" s="119"/>
    </row>
    <row r="41" spans="7:112" x14ac:dyDescent="0.2">
      <c r="G41" s="144"/>
      <c r="AT41" s="144"/>
      <c r="AU41" s="144"/>
      <c r="AV41" s="144"/>
      <c r="AW41" s="144"/>
      <c r="AX41" s="144"/>
      <c r="AY41" s="144"/>
      <c r="AZ41" s="144"/>
      <c r="BA41" s="144"/>
      <c r="BB41" s="144"/>
      <c r="BC41" s="144"/>
      <c r="BD41" s="144"/>
      <c r="BF41" s="144"/>
      <c r="BG41" s="144"/>
      <c r="BI41" s="144"/>
      <c r="BJ41" s="144"/>
      <c r="BL41" s="144"/>
      <c r="BM41" s="144"/>
      <c r="CE41" s="144"/>
      <c r="CF41" s="144"/>
      <c r="CG41" s="144"/>
      <c r="CH41" s="144"/>
      <c r="CI41" s="144"/>
      <c r="CJ41" s="144"/>
      <c r="CK41" s="144"/>
      <c r="CL41" s="144"/>
      <c r="CM41" s="144"/>
      <c r="CN41" s="144"/>
      <c r="CO41" s="144"/>
      <c r="CS41" s="119"/>
      <c r="CT41" s="119"/>
      <c r="CU41" s="119"/>
      <c r="CV41" s="119"/>
      <c r="CW41" s="119"/>
      <c r="CX41" s="119"/>
    </row>
    <row r="42" spans="7:112" x14ac:dyDescent="0.2">
      <c r="G42" s="144"/>
      <c r="AT42" s="144"/>
      <c r="AU42" s="144"/>
      <c r="AV42" s="144"/>
      <c r="AW42" s="144"/>
      <c r="AX42" s="144"/>
      <c r="AY42" s="144"/>
      <c r="AZ42" s="144"/>
      <c r="BA42" s="144"/>
      <c r="BB42" s="144"/>
      <c r="BC42" s="144"/>
      <c r="BD42" s="144"/>
      <c r="BF42" s="144"/>
      <c r="BG42" s="144"/>
      <c r="BI42" s="144"/>
      <c r="BJ42" s="144"/>
      <c r="BL42" s="144"/>
      <c r="BM42" s="144"/>
      <c r="CE42" s="144"/>
      <c r="CF42" s="144"/>
      <c r="CG42" s="144"/>
      <c r="CH42" s="144"/>
      <c r="CI42" s="144"/>
      <c r="CJ42" s="144"/>
      <c r="CK42" s="144"/>
      <c r="CL42" s="144"/>
      <c r="CM42" s="144"/>
      <c r="CN42" s="144"/>
      <c r="CO42" s="144"/>
      <c r="CS42" s="119"/>
      <c r="CT42" s="119"/>
      <c r="CU42" s="119"/>
      <c r="CV42" s="119"/>
      <c r="CW42" s="119"/>
      <c r="CX42" s="119"/>
    </row>
    <row r="43" spans="7:112" x14ac:dyDescent="0.2">
      <c r="G43" s="144"/>
      <c r="AT43" s="144"/>
      <c r="AU43" s="144"/>
      <c r="AV43" s="144"/>
      <c r="AW43" s="144"/>
      <c r="AX43" s="144"/>
      <c r="AY43" s="144"/>
      <c r="AZ43" s="144"/>
      <c r="BA43" s="144"/>
      <c r="BB43" s="144"/>
      <c r="BC43" s="144"/>
      <c r="BD43" s="144"/>
      <c r="BF43" s="144"/>
      <c r="BG43" s="144"/>
      <c r="BI43" s="144"/>
      <c r="BJ43" s="144"/>
      <c r="BL43" s="144"/>
      <c r="BM43" s="144"/>
      <c r="CE43" s="144"/>
      <c r="CF43" s="144"/>
      <c r="CG43" s="144"/>
      <c r="CH43" s="144"/>
      <c r="CI43" s="144"/>
      <c r="CJ43" s="144"/>
      <c r="CK43" s="144"/>
      <c r="CL43" s="144"/>
      <c r="CM43" s="144"/>
      <c r="CN43" s="144"/>
      <c r="CO43" s="144"/>
      <c r="CS43" s="119"/>
      <c r="CT43" s="119"/>
      <c r="CU43" s="119"/>
      <c r="CV43" s="119"/>
      <c r="CW43" s="119"/>
      <c r="CX43" s="119"/>
    </row>
    <row r="44" spans="7:112" x14ac:dyDescent="0.2">
      <c r="G44" s="144"/>
      <c r="AT44" s="144"/>
      <c r="AU44" s="144"/>
      <c r="AV44" s="144"/>
      <c r="AW44" s="144"/>
      <c r="AX44" s="144"/>
      <c r="AY44" s="144"/>
      <c r="AZ44" s="144"/>
      <c r="BA44" s="144"/>
      <c r="BB44" s="144"/>
      <c r="BC44" s="144"/>
      <c r="BD44" s="144"/>
      <c r="BF44" s="144"/>
      <c r="BG44" s="144"/>
      <c r="BI44" s="144"/>
      <c r="BJ44" s="144"/>
      <c r="BL44" s="144"/>
      <c r="BM44" s="144"/>
      <c r="CE44" s="144"/>
      <c r="CF44" s="144"/>
      <c r="CG44" s="144"/>
      <c r="CH44" s="144"/>
      <c r="CI44" s="144"/>
      <c r="CJ44" s="144"/>
      <c r="CK44" s="144"/>
      <c r="CL44" s="144"/>
      <c r="CM44" s="144"/>
      <c r="CN44" s="144"/>
      <c r="CO44" s="144"/>
      <c r="CS44" s="119"/>
      <c r="CT44" s="119"/>
      <c r="CU44" s="119"/>
      <c r="CV44" s="119"/>
      <c r="CW44" s="119"/>
      <c r="CX44" s="119"/>
      <c r="DC44" s="119" t="s">
        <v>1622</v>
      </c>
    </row>
    <row r="45" spans="7:112" x14ac:dyDescent="0.2">
      <c r="G45" s="144"/>
      <c r="AT45" s="144"/>
      <c r="AU45" s="144"/>
      <c r="AV45" s="144"/>
      <c r="AW45" s="144"/>
      <c r="AX45" s="144"/>
      <c r="AY45" s="144"/>
      <c r="AZ45" s="144"/>
      <c r="BA45" s="144"/>
      <c r="BB45" s="144"/>
      <c r="BC45" s="144"/>
      <c r="BD45" s="144"/>
      <c r="BF45" s="144"/>
      <c r="BG45" s="144"/>
      <c r="BI45" s="144"/>
      <c r="BJ45" s="144"/>
      <c r="BL45" s="144"/>
      <c r="BM45" s="144"/>
      <c r="CE45" s="144"/>
      <c r="CF45" s="144"/>
      <c r="CG45" s="144"/>
      <c r="CH45" s="144"/>
      <c r="CI45" s="144"/>
      <c r="CJ45" s="144"/>
      <c r="CK45" s="144"/>
      <c r="CL45" s="144"/>
      <c r="CM45" s="144"/>
      <c r="CN45" s="144"/>
      <c r="CO45" s="144"/>
      <c r="CS45" s="119"/>
      <c r="CT45" s="119"/>
      <c r="CU45" s="119"/>
      <c r="CV45" s="119"/>
      <c r="CW45" s="119"/>
      <c r="CX45" s="119"/>
    </row>
    <row r="46" spans="7:112" x14ac:dyDescent="0.2">
      <c r="G46" s="144"/>
      <c r="AT46" s="144"/>
      <c r="AU46" s="144"/>
      <c r="AV46" s="144"/>
      <c r="AW46" s="144"/>
      <c r="AX46" s="144"/>
      <c r="AY46" s="144"/>
      <c r="AZ46" s="144"/>
      <c r="BA46" s="144"/>
      <c r="BB46" s="144"/>
      <c r="BC46" s="144"/>
      <c r="BD46" s="144"/>
      <c r="BF46" s="144"/>
      <c r="BG46" s="144"/>
      <c r="BI46" s="144"/>
      <c r="BJ46" s="144"/>
      <c r="BL46" s="144"/>
      <c r="BM46" s="144"/>
      <c r="CE46" s="144"/>
      <c r="CF46" s="144"/>
      <c r="CG46" s="144"/>
      <c r="CH46" s="144"/>
      <c r="CI46" s="144"/>
      <c r="CJ46" s="144"/>
      <c r="CK46" s="144"/>
      <c r="CL46" s="144"/>
      <c r="CM46" s="144"/>
      <c r="CN46" s="144"/>
      <c r="CO46" s="144"/>
      <c r="CS46" s="119"/>
      <c r="CT46" s="119"/>
      <c r="CU46" s="119"/>
      <c r="CV46" s="119"/>
      <c r="CW46" s="119"/>
      <c r="CX46" s="119"/>
    </row>
    <row r="47" spans="7:112" x14ac:dyDescent="0.2">
      <c r="G47" s="144"/>
      <c r="AT47" s="144"/>
      <c r="AU47" s="144"/>
      <c r="AV47" s="144"/>
      <c r="AW47" s="144"/>
      <c r="AX47" s="144"/>
      <c r="AY47" s="144"/>
      <c r="AZ47" s="144"/>
      <c r="BA47" s="144"/>
      <c r="BB47" s="144"/>
      <c r="BC47" s="144"/>
      <c r="BD47" s="144"/>
      <c r="BF47" s="144"/>
      <c r="BG47" s="144"/>
      <c r="BI47" s="144"/>
      <c r="BJ47" s="144"/>
      <c r="BL47" s="144"/>
      <c r="BM47" s="144"/>
      <c r="CE47" s="144"/>
      <c r="CF47" s="144"/>
      <c r="CG47" s="144"/>
      <c r="CH47" s="144"/>
      <c r="CI47" s="144"/>
      <c r="CJ47" s="144"/>
      <c r="CK47" s="144"/>
      <c r="CL47" s="144"/>
      <c r="CM47" s="144"/>
      <c r="CN47" s="144"/>
      <c r="CO47" s="144"/>
      <c r="CS47" s="119"/>
      <c r="CT47" s="119"/>
      <c r="CU47" s="119"/>
      <c r="CV47" s="119"/>
      <c r="CW47" s="119"/>
      <c r="CX47" s="119"/>
    </row>
    <row r="48" spans="7:112" x14ac:dyDescent="0.2">
      <c r="G48" s="144"/>
      <c r="AT48" s="144"/>
      <c r="AU48" s="144"/>
      <c r="AV48" s="144"/>
      <c r="AW48" s="144"/>
      <c r="AX48" s="144"/>
      <c r="AY48" s="144"/>
      <c r="AZ48" s="144"/>
      <c r="BA48" s="144"/>
      <c r="BB48" s="144"/>
      <c r="BC48" s="144"/>
      <c r="BD48" s="144"/>
      <c r="BF48" s="144"/>
      <c r="BG48" s="144"/>
      <c r="BI48" s="144"/>
      <c r="BJ48" s="144"/>
      <c r="BL48" s="144"/>
      <c r="BM48" s="144"/>
      <c r="CE48" s="144"/>
      <c r="CF48" s="144"/>
      <c r="CG48" s="144"/>
      <c r="CH48" s="144"/>
      <c r="CI48" s="144"/>
      <c r="CJ48" s="144"/>
      <c r="CK48" s="144"/>
      <c r="CL48" s="144"/>
      <c r="CM48" s="144"/>
      <c r="CN48" s="144"/>
      <c r="CO48" s="144"/>
      <c r="CS48" s="119"/>
      <c r="CT48" s="119"/>
      <c r="CU48" s="119"/>
      <c r="CV48" s="119"/>
      <c r="CW48" s="119"/>
      <c r="CX48" s="119"/>
    </row>
    <row r="49" spans="7:102" x14ac:dyDescent="0.2">
      <c r="G49" s="144"/>
      <c r="AT49" s="144"/>
      <c r="AU49" s="144"/>
      <c r="AV49" s="144"/>
      <c r="AW49" s="144"/>
      <c r="AX49" s="144"/>
      <c r="AY49" s="144"/>
      <c r="AZ49" s="144"/>
      <c r="BA49" s="144"/>
      <c r="BB49" s="144"/>
      <c r="BC49" s="144"/>
      <c r="BD49" s="144"/>
      <c r="BF49" s="144"/>
      <c r="BG49" s="144"/>
      <c r="BI49" s="144"/>
      <c r="BJ49" s="144"/>
      <c r="BL49" s="144"/>
      <c r="BM49" s="144"/>
      <c r="CE49" s="144"/>
      <c r="CF49" s="144"/>
      <c r="CG49" s="144"/>
      <c r="CH49" s="144"/>
      <c r="CI49" s="144"/>
      <c r="CJ49" s="144"/>
      <c r="CK49" s="144"/>
      <c r="CL49" s="144"/>
      <c r="CM49" s="144"/>
      <c r="CN49" s="144"/>
      <c r="CO49" s="144"/>
      <c r="CS49" s="119"/>
      <c r="CT49" s="119"/>
      <c r="CU49" s="119"/>
      <c r="CV49" s="119"/>
      <c r="CW49" s="119"/>
      <c r="CX49" s="119"/>
    </row>
    <row r="50" spans="7:102" x14ac:dyDescent="0.2">
      <c r="G50" s="144"/>
      <c r="AT50" s="144"/>
      <c r="AU50" s="144"/>
      <c r="AV50" s="144"/>
      <c r="AW50" s="144"/>
      <c r="AX50" s="144"/>
      <c r="AY50" s="144"/>
      <c r="AZ50" s="144"/>
      <c r="BA50" s="144"/>
      <c r="BB50" s="144"/>
      <c r="BC50" s="144"/>
      <c r="BD50" s="144"/>
      <c r="BF50" s="144"/>
      <c r="BG50" s="144"/>
      <c r="BI50" s="144"/>
      <c r="BJ50" s="144"/>
      <c r="BL50" s="144"/>
      <c r="BM50" s="144"/>
      <c r="CE50" s="144"/>
      <c r="CF50" s="144"/>
      <c r="CG50" s="144"/>
      <c r="CH50" s="144"/>
      <c r="CI50" s="144"/>
      <c r="CJ50" s="144"/>
      <c r="CK50" s="144"/>
      <c r="CL50" s="144"/>
      <c r="CM50" s="144"/>
      <c r="CN50" s="144"/>
      <c r="CO50" s="144"/>
      <c r="CS50" s="119"/>
      <c r="CT50" s="119"/>
      <c r="CU50" s="119"/>
      <c r="CV50" s="119"/>
      <c r="CW50" s="119"/>
      <c r="CX50" s="119"/>
    </row>
    <row r="51" spans="7:102" x14ac:dyDescent="0.2">
      <c r="G51" s="144"/>
      <c r="AT51" s="144"/>
      <c r="AU51" s="144"/>
      <c r="AV51" s="144"/>
      <c r="AW51" s="144"/>
      <c r="AX51" s="144"/>
      <c r="AY51" s="144"/>
      <c r="AZ51" s="144"/>
      <c r="BA51" s="144"/>
      <c r="BB51" s="144"/>
      <c r="BC51" s="144"/>
      <c r="BD51" s="144"/>
      <c r="BF51" s="144"/>
      <c r="BG51" s="144"/>
      <c r="BI51" s="144"/>
      <c r="BJ51" s="144"/>
      <c r="BL51" s="144"/>
      <c r="BM51" s="144"/>
      <c r="CE51" s="144"/>
      <c r="CF51" s="144"/>
      <c r="CG51" s="144"/>
      <c r="CH51" s="144"/>
      <c r="CI51" s="144"/>
      <c r="CJ51" s="144"/>
      <c r="CK51" s="144"/>
      <c r="CL51" s="144"/>
      <c r="CM51" s="144"/>
      <c r="CN51" s="144"/>
      <c r="CO51" s="144"/>
      <c r="CS51" s="119"/>
      <c r="CT51" s="119"/>
      <c r="CU51" s="119"/>
      <c r="CV51" s="119"/>
      <c r="CW51" s="119"/>
      <c r="CX51" s="119"/>
    </row>
    <row r="52" spans="7:102" x14ac:dyDescent="0.2">
      <c r="G52" s="144"/>
      <c r="AT52" s="144"/>
      <c r="AU52" s="144"/>
      <c r="AV52" s="144"/>
      <c r="AW52" s="144"/>
      <c r="AX52" s="144"/>
      <c r="AY52" s="144"/>
      <c r="AZ52" s="144"/>
      <c r="BA52" s="144"/>
      <c r="BB52" s="144"/>
      <c r="BC52" s="144"/>
      <c r="BD52" s="144"/>
      <c r="BF52" s="144"/>
      <c r="BG52" s="144"/>
      <c r="BI52" s="144"/>
      <c r="BJ52" s="144"/>
      <c r="BL52" s="144"/>
      <c r="BM52" s="144"/>
      <c r="CE52" s="144"/>
      <c r="CF52" s="144"/>
      <c r="CG52" s="144"/>
      <c r="CH52" s="144"/>
      <c r="CI52" s="144"/>
      <c r="CJ52" s="144"/>
      <c r="CK52" s="144"/>
      <c r="CL52" s="144"/>
      <c r="CM52" s="144"/>
      <c r="CN52" s="144"/>
      <c r="CO52" s="144"/>
      <c r="CS52" s="119"/>
      <c r="CT52" s="119"/>
      <c r="CU52" s="119"/>
      <c r="CV52" s="119"/>
      <c r="CW52" s="119"/>
      <c r="CX52" s="119"/>
    </row>
    <row r="53" spans="7:102" x14ac:dyDescent="0.2">
      <c r="G53" s="144"/>
      <c r="AT53" s="144"/>
      <c r="AU53" s="144"/>
      <c r="AV53" s="144"/>
      <c r="AW53" s="144"/>
      <c r="AX53" s="144"/>
      <c r="AY53" s="144"/>
      <c r="AZ53" s="144"/>
      <c r="BA53" s="144"/>
      <c r="BB53" s="144"/>
      <c r="BC53" s="144"/>
      <c r="BD53" s="144"/>
      <c r="BF53" s="144"/>
      <c r="BG53" s="144"/>
      <c r="BI53" s="144"/>
      <c r="BJ53" s="144"/>
      <c r="BL53" s="144"/>
      <c r="BM53" s="144"/>
      <c r="CE53" s="144"/>
      <c r="CF53" s="144"/>
      <c r="CG53" s="144"/>
      <c r="CH53" s="144"/>
      <c r="CI53" s="144"/>
      <c r="CJ53" s="144"/>
      <c r="CK53" s="144"/>
      <c r="CL53" s="144"/>
      <c r="CM53" s="144"/>
      <c r="CN53" s="144"/>
      <c r="CO53" s="144"/>
      <c r="CS53" s="119"/>
      <c r="CT53" s="119"/>
      <c r="CU53" s="119"/>
      <c r="CV53" s="119"/>
      <c r="CW53" s="119"/>
      <c r="CX53" s="119"/>
    </row>
    <row r="54" spans="7:102" x14ac:dyDescent="0.2">
      <c r="G54" s="144"/>
      <c r="AT54" s="144"/>
      <c r="AU54" s="144"/>
      <c r="AV54" s="144"/>
      <c r="AW54" s="144"/>
      <c r="AX54" s="144"/>
      <c r="AY54" s="144"/>
      <c r="AZ54" s="144"/>
      <c r="BA54" s="144"/>
      <c r="BB54" s="144"/>
      <c r="BC54" s="144"/>
      <c r="BD54" s="144"/>
      <c r="BF54" s="144"/>
      <c r="BG54" s="144"/>
      <c r="BI54" s="144"/>
      <c r="BJ54" s="144"/>
      <c r="BL54" s="144"/>
      <c r="BM54" s="144"/>
      <c r="CE54" s="144"/>
      <c r="CF54" s="144"/>
      <c r="CG54" s="144"/>
      <c r="CH54" s="144"/>
      <c r="CI54" s="144"/>
      <c r="CJ54" s="144"/>
      <c r="CK54" s="144"/>
      <c r="CL54" s="144"/>
      <c r="CM54" s="144"/>
      <c r="CN54" s="144"/>
      <c r="CO54" s="144"/>
      <c r="CS54" s="119"/>
      <c r="CT54" s="119"/>
      <c r="CU54" s="119"/>
      <c r="CV54" s="119"/>
      <c r="CW54" s="119"/>
      <c r="CX54" s="119"/>
    </row>
    <row r="55" spans="7:102" x14ac:dyDescent="0.2">
      <c r="G55" s="144"/>
      <c r="AT55" s="144"/>
      <c r="AU55" s="144"/>
      <c r="AV55" s="144"/>
      <c r="AW55" s="144"/>
      <c r="AX55" s="144"/>
      <c r="AY55" s="144"/>
      <c r="AZ55" s="144"/>
      <c r="BA55" s="144"/>
      <c r="BB55" s="144"/>
      <c r="BC55" s="144"/>
      <c r="BD55" s="144"/>
      <c r="BF55" s="144"/>
      <c r="BG55" s="144"/>
      <c r="BI55" s="144"/>
      <c r="BJ55" s="144"/>
      <c r="BL55" s="144"/>
      <c r="BM55" s="144"/>
      <c r="CE55" s="144"/>
      <c r="CF55" s="144"/>
      <c r="CG55" s="144"/>
      <c r="CH55" s="144"/>
      <c r="CI55" s="144"/>
      <c r="CJ55" s="144"/>
      <c r="CK55" s="144"/>
      <c r="CL55" s="144"/>
      <c r="CM55" s="144"/>
      <c r="CN55" s="144"/>
      <c r="CO55" s="144"/>
      <c r="CS55" s="119"/>
      <c r="CT55" s="119"/>
      <c r="CU55" s="119"/>
      <c r="CV55" s="119"/>
      <c r="CW55" s="119"/>
      <c r="CX55" s="119"/>
    </row>
    <row r="56" spans="7:102" x14ac:dyDescent="0.2">
      <c r="G56" s="144"/>
      <c r="AT56" s="144"/>
      <c r="AU56" s="144"/>
      <c r="AV56" s="144"/>
      <c r="AW56" s="144"/>
      <c r="AX56" s="144"/>
      <c r="AY56" s="144"/>
      <c r="AZ56" s="144"/>
      <c r="BA56" s="144"/>
      <c r="BB56" s="144"/>
      <c r="BC56" s="144"/>
      <c r="BD56" s="144"/>
      <c r="BF56" s="144"/>
      <c r="BG56" s="144"/>
      <c r="BI56" s="144"/>
      <c r="BJ56" s="144"/>
      <c r="BL56" s="144"/>
      <c r="BM56" s="144"/>
      <c r="CE56" s="144"/>
      <c r="CF56" s="144"/>
      <c r="CG56" s="144"/>
      <c r="CH56" s="144"/>
      <c r="CI56" s="144"/>
      <c r="CJ56" s="144"/>
      <c r="CK56" s="144"/>
      <c r="CL56" s="144"/>
      <c r="CM56" s="144"/>
      <c r="CN56" s="144"/>
      <c r="CO56" s="144"/>
      <c r="CS56" s="119"/>
      <c r="CT56" s="119"/>
      <c r="CU56" s="119"/>
      <c r="CV56" s="119"/>
      <c r="CW56" s="119"/>
      <c r="CX56" s="119"/>
    </row>
    <row r="57" spans="7:102" x14ac:dyDescent="0.2">
      <c r="G57" s="144"/>
      <c r="AT57" s="144"/>
      <c r="AU57" s="144"/>
      <c r="AV57" s="144"/>
      <c r="AW57" s="144"/>
      <c r="AX57" s="144"/>
      <c r="AY57" s="144"/>
      <c r="AZ57" s="144"/>
      <c r="BA57" s="144"/>
      <c r="BB57" s="144"/>
      <c r="BC57" s="144"/>
      <c r="BD57" s="144"/>
      <c r="BF57" s="144"/>
      <c r="BG57" s="144"/>
      <c r="BI57" s="144"/>
      <c r="BJ57" s="144"/>
      <c r="BL57" s="144"/>
      <c r="BM57" s="144"/>
      <c r="CE57" s="144"/>
      <c r="CF57" s="144"/>
      <c r="CG57" s="144"/>
      <c r="CH57" s="144"/>
      <c r="CI57" s="144"/>
      <c r="CJ57" s="144"/>
      <c r="CK57" s="144"/>
      <c r="CL57" s="144"/>
      <c r="CM57" s="144"/>
      <c r="CN57" s="144"/>
      <c r="CO57" s="144"/>
      <c r="CS57" s="119"/>
      <c r="CT57" s="119"/>
      <c r="CU57" s="119"/>
      <c r="CV57" s="119"/>
      <c r="CW57" s="119"/>
      <c r="CX57" s="119"/>
    </row>
    <row r="58" spans="7:102" x14ac:dyDescent="0.2">
      <c r="G58" s="144"/>
      <c r="AT58" s="144"/>
      <c r="AU58" s="144"/>
      <c r="AV58" s="144"/>
      <c r="AW58" s="144"/>
      <c r="AX58" s="144"/>
      <c r="AY58" s="144"/>
      <c r="AZ58" s="144"/>
      <c r="BA58" s="144"/>
      <c r="BB58" s="144"/>
      <c r="BC58" s="144"/>
      <c r="BD58" s="144"/>
      <c r="BF58" s="144"/>
      <c r="BG58" s="144"/>
      <c r="BI58" s="144"/>
      <c r="BJ58" s="144"/>
      <c r="BL58" s="144"/>
      <c r="BM58" s="144"/>
      <c r="CE58" s="144"/>
      <c r="CF58" s="144"/>
      <c r="CG58" s="144"/>
      <c r="CH58" s="144"/>
      <c r="CI58" s="144"/>
      <c r="CJ58" s="144"/>
      <c r="CK58" s="144"/>
      <c r="CL58" s="144"/>
      <c r="CM58" s="144"/>
      <c r="CN58" s="144"/>
      <c r="CO58" s="144"/>
      <c r="CS58" s="119"/>
      <c r="CT58" s="119"/>
      <c r="CU58" s="119"/>
      <c r="CV58" s="119"/>
      <c r="CW58" s="119"/>
      <c r="CX58" s="119"/>
    </row>
    <row r="59" spans="7:102" x14ac:dyDescent="0.2">
      <c r="CS59" s="119"/>
      <c r="CT59" s="119"/>
      <c r="CU59" s="119"/>
      <c r="CV59" s="119"/>
      <c r="CW59" s="119"/>
      <c r="CX59" s="119"/>
    </row>
  </sheetData>
  <mergeCells count="29">
    <mergeCell ref="CE1:CF1"/>
    <mergeCell ref="CH1:CI1"/>
    <mergeCell ref="CK1:CL1"/>
    <mergeCell ref="CN1:CO1"/>
    <mergeCell ref="BT1:BU1"/>
    <mergeCell ref="BW1:BX1"/>
    <mergeCell ref="CB1:CC1"/>
    <mergeCell ref="BQ1:BR1"/>
    <mergeCell ref="AE1:AG1"/>
    <mergeCell ref="AI1:AJ1"/>
    <mergeCell ref="AL1:AP1"/>
    <mergeCell ref="AR1:AS1"/>
    <mergeCell ref="AU1:AW1"/>
    <mergeCell ref="BB1:BD1"/>
    <mergeCell ref="BF1:BG1"/>
    <mergeCell ref="BI1:BJ1"/>
    <mergeCell ref="BN1:BO1"/>
    <mergeCell ref="AY1:AZ1"/>
    <mergeCell ref="Y1:AC1"/>
    <mergeCell ref="B1:D1"/>
    <mergeCell ref="J1:K1"/>
    <mergeCell ref="M1:N1"/>
    <mergeCell ref="P1:Q1"/>
    <mergeCell ref="U1:W1"/>
    <mergeCell ref="DJ1:DO1"/>
    <mergeCell ref="DQ1:DR1"/>
    <mergeCell ref="CS1:CZ1"/>
    <mergeCell ref="DB1:DC1"/>
    <mergeCell ref="DG1:DH1"/>
  </mergeCells>
  <dataValidations count="1">
    <dataValidation type="list" allowBlank="1" showInputMessage="1" showErrorMessage="1" sqref="DJ3:DJ6" xr:uid="{57AFF553-6D84-3543-BBE0-1D0B1B16F549}">
      <formula1>$DG$12:$DG$15</formula1>
    </dataValidation>
  </dataValidations>
  <pageMargins left="0.7" right="0.7" top="0.75" bottom="0.75" header="0.3" footer="0.3"/>
  <pageSetup orientation="portrait" horizontalDpi="0" verticalDpi="0"/>
  <tableParts count="39">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28</vt:i4>
      </vt:variant>
      <vt:variant>
        <vt:lpstr>Named Ranges</vt:lpstr>
      </vt:variant>
      <vt:variant>
        <vt:i4>6</vt:i4>
      </vt:variant>
    </vt:vector>
  </HeadingPairs>
  <TitlesOfParts>
    <vt:vector size="34" baseType="lpstr">
      <vt:lpstr>Illustration Table</vt:lpstr>
      <vt:lpstr>1. Task Analysis</vt:lpstr>
      <vt:lpstr>2. MT&amp;L</vt:lpstr>
      <vt:lpstr>3. FAO</vt:lpstr>
      <vt:lpstr>4. CIRT</vt:lpstr>
      <vt:lpstr>5. PESTLES Analysis</vt:lpstr>
      <vt:lpstr>6. Current State </vt:lpstr>
      <vt:lpstr>7. Driver</vt:lpstr>
      <vt:lpstr>8. Modified Driver Corr. Grid</vt:lpstr>
      <vt:lpstr>9. Mod. Prioritized Trend</vt:lpstr>
      <vt:lpstr>10. Futures - Core</vt:lpstr>
      <vt:lpstr>10. Futures - Alternative #1</vt:lpstr>
      <vt:lpstr>10. Futures - Alternative #2</vt:lpstr>
      <vt:lpstr>10. Futures - Plausible</vt:lpstr>
      <vt:lpstr>11. SWOT</vt:lpstr>
      <vt:lpstr>12. OA Anlaysis</vt:lpstr>
      <vt:lpstr>13. CBA</vt:lpstr>
      <vt:lpstr>14. IPL</vt:lpstr>
      <vt:lpstr>15. SWOT-COG Analysis</vt:lpstr>
      <vt:lpstr>16. Strategy</vt:lpstr>
      <vt:lpstr>17. 9S</vt:lpstr>
      <vt:lpstr>18. Stakeholder</vt:lpstr>
      <vt:lpstr>19. Decision Support</vt:lpstr>
      <vt:lpstr>20. Evaluation</vt:lpstr>
      <vt:lpstr>21. Sync</vt:lpstr>
      <vt:lpstr>22. Risk Register</vt:lpstr>
      <vt:lpstr>23. Assessment</vt:lpstr>
      <vt:lpstr>Lists</vt:lpstr>
      <vt:lpstr>'4. CIRT'!Environment</vt:lpstr>
      <vt:lpstr>Limitation</vt:lpstr>
      <vt:lpstr>Motivator</vt:lpstr>
      <vt:lpstr>MTLDD</vt:lpstr>
      <vt:lpstr>'16. Strategy'!Print_Area</vt:lpstr>
      <vt:lpstr>Task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Steven Johnson</cp:lastModifiedBy>
  <cp:lastPrinted>2026-07-31T21:46:16Z</cp:lastPrinted>
  <dcterms:created xsi:type="dcterms:W3CDTF">2019-11-13T22:01:08Z</dcterms:created>
  <dcterms:modified xsi:type="dcterms:W3CDTF">2026-07-31T22:01:02Z</dcterms:modified>
</cp:coreProperties>
</file>